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insaku/Downloads/"/>
    </mc:Choice>
  </mc:AlternateContent>
  <xr:revisionPtr revIDLastSave="0" documentId="13_ncr:1_{0C54C6CF-2715-3B47-BCCA-1FD6988B06D6}" xr6:coauthVersionLast="45" xr6:coauthVersionMax="45" xr10:uidLastSave="{00000000-0000-0000-0000-000000000000}"/>
  <bookViews>
    <workbookView xWindow="21660" yWindow="460" windowWidth="29540" windowHeight="26860" activeTab="4" xr2:uid="{0E8E5510-C8C6-1F42-8302-782B99A96250}"/>
  </bookViews>
  <sheets>
    <sheet name="リーフブロワHC" sheetId="1" r:id="rId1"/>
    <sheet name="ケースファンHC" sheetId="2" r:id="rId2"/>
    <sheet name="EDF-HC" sheetId="3" r:id="rId3"/>
    <sheet name="COX049-HC" sheetId="4" r:id="rId4"/>
    <sheet name="COX020-HC" sheetId="5" r:id="rId5"/>
  </sheets>
  <definedNames>
    <definedName name="_xlnm.Print_Area" localSheetId="4">'COX020-HC'!$A$1:$G$30</definedName>
    <definedName name="_xlnm.Print_Area" localSheetId="3">'COX049-HC'!$A$1:$G$30</definedName>
    <definedName name="_xlnm.Print_Area" localSheetId="2">'EDF-HC'!$A$1:$G$30</definedName>
    <definedName name="_xlnm.Print_Area" localSheetId="1">ケースファンHC!$A$1:$G$30</definedName>
    <definedName name="_xlnm.Print_Area" localSheetId="0">リーフブロワHC!$A$1:$G$30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5" l="1"/>
  <c r="D14" i="5"/>
  <c r="B22" i="5" s="1"/>
  <c r="B14" i="5"/>
  <c r="D13" i="5"/>
  <c r="D12" i="5"/>
  <c r="D15" i="5" s="1"/>
  <c r="I9" i="5"/>
  <c r="B7" i="5" s="1"/>
  <c r="B8" i="5"/>
  <c r="B9" i="5" s="1"/>
  <c r="D9" i="5" s="1"/>
  <c r="I7" i="5"/>
  <c r="D7" i="5" l="1"/>
  <c r="B24" i="5"/>
  <c r="D24" i="5" s="1"/>
  <c r="F22" i="5"/>
  <c r="D22" i="5"/>
  <c r="B23" i="5"/>
  <c r="B20" i="5"/>
  <c r="B21" i="5" s="1"/>
  <c r="I10" i="5"/>
  <c r="K10" i="5" s="1"/>
  <c r="D8" i="5"/>
  <c r="B7" i="2"/>
  <c r="B10" i="1"/>
  <c r="D10" i="1" s="1"/>
  <c r="B25" i="5" l="1"/>
  <c r="D25" i="5" s="1"/>
  <c r="B28" i="5"/>
  <c r="B10" i="5"/>
  <c r="D10" i="5" s="1"/>
  <c r="I9" i="4"/>
  <c r="B29" i="5" l="1"/>
  <c r="D28" i="5"/>
  <c r="B30" i="5" s="1"/>
  <c r="I7" i="4"/>
  <c r="B15" i="4" l="1"/>
  <c r="B14" i="4"/>
  <c r="D13" i="4"/>
  <c r="D12" i="4"/>
  <c r="B7" i="4"/>
  <c r="B8" i="4"/>
  <c r="D8" i="4" s="1"/>
  <c r="D15" i="4" l="1"/>
  <c r="D14" i="4"/>
  <c r="B22" i="4" s="1"/>
  <c r="D22" i="4" s="1"/>
  <c r="B9" i="4"/>
  <c r="D9" i="4" s="1"/>
  <c r="D7" i="4"/>
  <c r="B10" i="4" s="1"/>
  <c r="D10" i="4" s="1"/>
  <c r="B24" i="4"/>
  <c r="D24" i="4" s="1"/>
  <c r="I10" i="4"/>
  <c r="K10" i="4" s="1"/>
  <c r="B8" i="3"/>
  <c r="B9" i="3" s="1"/>
  <c r="D9" i="3" s="1"/>
  <c r="I9" i="3"/>
  <c r="I10" i="3" s="1"/>
  <c r="K10" i="3" s="1"/>
  <c r="B15" i="3"/>
  <c r="B14" i="3"/>
  <c r="D13" i="3"/>
  <c r="D12" i="3"/>
  <c r="D14" i="3" s="1"/>
  <c r="B28" i="4" l="1"/>
  <c r="B23" i="4"/>
  <c r="B25" i="4" s="1"/>
  <c r="D25" i="4" s="1"/>
  <c r="B20" i="4"/>
  <c r="B21" i="4" s="1"/>
  <c r="F22" i="4"/>
  <c r="B29" i="4"/>
  <c r="D28" i="4"/>
  <c r="B30" i="4" s="1"/>
  <c r="B7" i="3"/>
  <c r="D7" i="3" s="1"/>
  <c r="D8" i="3"/>
  <c r="B22" i="3"/>
  <c r="B20" i="3"/>
  <c r="B21" i="3" s="1"/>
  <c r="D15" i="3"/>
  <c r="D7" i="2"/>
  <c r="B10" i="2" s="1"/>
  <c r="D8" i="2"/>
  <c r="B9" i="2"/>
  <c r="D9" i="2"/>
  <c r="F9" i="2"/>
  <c r="D12" i="2"/>
  <c r="D14" i="2" s="1"/>
  <c r="D13" i="2"/>
  <c r="B14" i="2"/>
  <c r="B15" i="2"/>
  <c r="B24" i="2"/>
  <c r="D24" i="2" s="1"/>
  <c r="G10" i="2" l="1"/>
  <c r="D10" i="2"/>
  <c r="B28" i="2"/>
  <c r="B29" i="2" s="1"/>
  <c r="B10" i="3"/>
  <c r="B24" i="3"/>
  <c r="D24" i="3" s="1"/>
  <c r="B28" i="3"/>
  <c r="B29" i="3" s="1"/>
  <c r="B23" i="3"/>
  <c r="F22" i="3"/>
  <c r="D22" i="3"/>
  <c r="B20" i="2"/>
  <c r="B21" i="2" s="1"/>
  <c r="B22" i="2"/>
  <c r="D15" i="2"/>
  <c r="D8" i="1"/>
  <c r="D10" i="3" l="1"/>
  <c r="G10" i="3"/>
  <c r="D28" i="2"/>
  <c r="B30" i="2" s="1"/>
  <c r="D28" i="3"/>
  <c r="B30" i="3" s="1"/>
  <c r="B25" i="3"/>
  <c r="D25" i="3" s="1"/>
  <c r="F22" i="2"/>
  <c r="B23" i="2"/>
  <c r="B25" i="2" s="1"/>
  <c r="D25" i="2" s="1"/>
  <c r="D22" i="2"/>
  <c r="B15" i="1"/>
  <c r="B14" i="1"/>
  <c r="D13" i="1"/>
  <c r="D12" i="1"/>
  <c r="B9" i="1"/>
  <c r="D9" i="1" s="1"/>
  <c r="D14" i="1" l="1"/>
  <c r="B22" i="1" s="1"/>
  <c r="D15" i="1"/>
  <c r="D22" i="1" l="1"/>
  <c r="F22" i="1"/>
  <c r="B20" i="1"/>
  <c r="B21" i="1" s="1"/>
  <c r="B23" i="1" l="1"/>
  <c r="D7" i="1" l="1"/>
  <c r="B28" i="1" s="1"/>
  <c r="B29" i="1" s="1"/>
  <c r="B24" i="1"/>
  <c r="D24" i="1" s="1"/>
  <c r="B25" i="1" s="1"/>
  <c r="D25" i="1" s="1"/>
  <c r="D28" i="1" l="1"/>
  <c r="B30" i="1" s="1"/>
</calcChain>
</file>

<file path=xl/sharedStrings.xml><?xml version="1.0" encoding="utf-8"?>
<sst xmlns="http://schemas.openxmlformats.org/spreadsheetml/2006/main" count="331" uniqueCount="57">
  <si>
    <t>m^3/s</t>
    <phoneticPr fontId="1"/>
  </si>
  <si>
    <t>風量</t>
    <rPh sb="0" eb="2">
      <t xml:space="preserve">フウリョウ </t>
    </rPh>
    <phoneticPr fontId="1"/>
  </si>
  <si>
    <t>風速</t>
    <rPh sb="0" eb="2">
      <t xml:space="preserve">フウソク </t>
    </rPh>
    <phoneticPr fontId="1"/>
  </si>
  <si>
    <t>m/s</t>
    <phoneticPr fontId="1"/>
  </si>
  <si>
    <t>m^3/min</t>
    <phoneticPr fontId="1"/>
  </si>
  <si>
    <t>km/h</t>
    <phoneticPr fontId="1"/>
  </si>
  <si>
    <t>出口圧力</t>
    <rPh sb="0" eb="2">
      <t xml:space="preserve">デグチ </t>
    </rPh>
    <rPh sb="2" eb="4">
      <t xml:space="preserve">アツリョク </t>
    </rPh>
    <phoneticPr fontId="1"/>
  </si>
  <si>
    <t>kgf/m^2</t>
    <phoneticPr fontId="1"/>
  </si>
  <si>
    <t>推力</t>
    <rPh sb="0" eb="2">
      <t xml:space="preserve">スイリョク </t>
    </rPh>
    <phoneticPr fontId="1"/>
  </si>
  <si>
    <t>N</t>
    <phoneticPr fontId="1"/>
  </si>
  <si>
    <t>kgf</t>
    <phoneticPr fontId="1"/>
  </si>
  <si>
    <t>kg/m^3</t>
    <phoneticPr fontId="1"/>
  </si>
  <si>
    <t>幅</t>
    <rPh sb="0" eb="1">
      <t xml:space="preserve">ハバ </t>
    </rPh>
    <phoneticPr fontId="1"/>
  </si>
  <si>
    <t>cm</t>
    <phoneticPr fontId="1"/>
  </si>
  <si>
    <t>m</t>
    <phoneticPr fontId="1"/>
  </si>
  <si>
    <t>面積</t>
    <rPh sb="0" eb="2">
      <t xml:space="preserve">メンセキ </t>
    </rPh>
    <phoneticPr fontId="1"/>
  </si>
  <si>
    <t>cm^2</t>
    <phoneticPr fontId="1"/>
  </si>
  <si>
    <t>m^2</t>
    <phoneticPr fontId="1"/>
  </si>
  <si>
    <t>最大浮力</t>
    <rPh sb="0" eb="4">
      <t xml:space="preserve">サイダイフリョク </t>
    </rPh>
    <phoneticPr fontId="1"/>
  </si>
  <si>
    <t>kg</t>
    <phoneticPr fontId="1"/>
  </si>
  <si>
    <t>自重</t>
    <rPh sb="0" eb="2">
      <t xml:space="preserve">ジジュウ </t>
    </rPh>
    <phoneticPr fontId="1"/>
  </si>
  <si>
    <t>周囲長</t>
    <rPh sb="0" eb="3">
      <t xml:space="preserve">シュウイチョウ </t>
    </rPh>
    <phoneticPr fontId="1"/>
  </si>
  <si>
    <t>スカート部風速</t>
    <rPh sb="5" eb="7">
      <t xml:space="preserve">フウソク </t>
    </rPh>
    <phoneticPr fontId="1"/>
  </si>
  <si>
    <t>mm</t>
    <phoneticPr fontId="1"/>
  </si>
  <si>
    <t>Pa</t>
    <phoneticPr fontId="1"/>
  </si>
  <si>
    <t>加速度</t>
    <rPh sb="0" eb="3">
      <t xml:space="preserve">カソクド </t>
    </rPh>
    <phoneticPr fontId="1"/>
  </si>
  <si>
    <t>分流後浮上高</t>
    <rPh sb="0" eb="3">
      <t xml:space="preserve">ブンリュウゴ </t>
    </rPh>
    <rPh sb="3" eb="6">
      <t xml:space="preserve">フジョウタカサ </t>
    </rPh>
    <phoneticPr fontId="1"/>
  </si>
  <si>
    <t>gf/cm^2</t>
    <phoneticPr fontId="1"/>
  </si>
  <si>
    <t>余裕係数</t>
    <rPh sb="0" eb="2">
      <t xml:space="preserve">ヨユウ </t>
    </rPh>
    <rPh sb="2" eb="4">
      <t xml:space="preserve">ケイスウ </t>
    </rPh>
    <phoneticPr fontId="1"/>
  </si>
  <si>
    <t>m/s^2</t>
    <phoneticPr fontId="1"/>
  </si>
  <si>
    <t>物理定数</t>
    <rPh sb="0" eb="2">
      <t xml:space="preserve">ブツリ </t>
    </rPh>
    <rPh sb="2" eb="4">
      <t xml:space="preserve">テイスウ </t>
    </rPh>
    <phoneticPr fontId="1"/>
  </si>
  <si>
    <t>浮上用分流比</t>
    <rPh sb="0" eb="3">
      <t xml:space="preserve">フジョウヨウ </t>
    </rPh>
    <rPh sb="3" eb="5">
      <t xml:space="preserve">ブンリュウヒ </t>
    </rPh>
    <rPh sb="5" eb="6">
      <t xml:space="preserve">ヒリツ </t>
    </rPh>
    <phoneticPr fontId="1"/>
  </si>
  <si>
    <t>重力加速度</t>
    <rPh sb="0" eb="2">
      <t xml:space="preserve">ジュウリョクテイスウ </t>
    </rPh>
    <rPh sb="2" eb="5">
      <t xml:space="preserve">カソクド </t>
    </rPh>
    <phoneticPr fontId="1"/>
  </si>
  <si>
    <t>空気の密度</t>
    <rPh sb="0" eb="2">
      <t xml:space="preserve">クウキノシツリョウ </t>
    </rPh>
    <rPh sb="3" eb="5">
      <t xml:space="preserve">ミツド </t>
    </rPh>
    <phoneticPr fontId="1"/>
  </si>
  <si>
    <t>分流後風量</t>
    <rPh sb="0" eb="5">
      <t xml:space="preserve">ブンリュウゴフウリョウ </t>
    </rPh>
    <phoneticPr fontId="1"/>
  </si>
  <si>
    <t>登坂能力</t>
    <rPh sb="0" eb="4">
      <t xml:space="preserve">トハンノウリョク </t>
    </rPh>
    <phoneticPr fontId="1"/>
  </si>
  <si>
    <t>deg</t>
    <phoneticPr fontId="1"/>
  </si>
  <si>
    <t>クッション圧力</t>
    <phoneticPr fontId="1"/>
  </si>
  <si>
    <t>PC冷却ファン・ホバークラフト設計</t>
    <rPh sb="2" eb="4">
      <t xml:space="preserve">レイキャク </t>
    </rPh>
    <phoneticPr fontId="1"/>
  </si>
  <si>
    <t>長さ</t>
    <rPh sb="0" eb="1">
      <t xml:space="preserve">ナガサ </t>
    </rPh>
    <phoneticPr fontId="1"/>
  </si>
  <si>
    <t>浮上能力</t>
    <rPh sb="0" eb="2">
      <t xml:space="preserve">フジョウ </t>
    </rPh>
    <rPh sb="2" eb="4">
      <t xml:space="preserve">ノウリョク </t>
    </rPh>
    <phoneticPr fontId="1"/>
  </si>
  <si>
    <t>加速能力</t>
    <rPh sb="0" eb="2">
      <t xml:space="preserve">カソク </t>
    </rPh>
    <rPh sb="2" eb="4">
      <t xml:space="preserve">ノウリョク </t>
    </rPh>
    <phoneticPr fontId="1"/>
  </si>
  <si>
    <t>設計パラメータ</t>
    <rPh sb="0" eb="2">
      <t xml:space="preserve">セッケイパラメータ </t>
    </rPh>
    <phoneticPr fontId="1"/>
  </si>
  <si>
    <t>ファン性能</t>
    <rPh sb="3" eb="5">
      <t xml:space="preserve">セイノウ </t>
    </rPh>
    <phoneticPr fontId="1"/>
  </si>
  <si>
    <t>mmAq</t>
    <phoneticPr fontId="1"/>
  </si>
  <si>
    <t>CFM</t>
    <phoneticPr fontId="1"/>
  </si>
  <si>
    <t>リーフブロワ・ホバークラフト設計</t>
    <phoneticPr fontId="1"/>
  </si>
  <si>
    <t>直径</t>
    <rPh sb="0" eb="2">
      <t xml:space="preserve">チョッケイ </t>
    </rPh>
    <phoneticPr fontId="1"/>
  </si>
  <si>
    <t>W</t>
    <phoneticPr fontId="1"/>
  </si>
  <si>
    <t>送風仕事率</t>
  </si>
  <si>
    <t>送風仕事率</t>
    <rPh sb="0" eb="2">
      <t xml:space="preserve">ソウフウ </t>
    </rPh>
    <rPh sb="2" eb="4">
      <t xml:space="preserve">シゴトリツ </t>
    </rPh>
    <rPh sb="4" eb="5">
      <t xml:space="preserve">リツ </t>
    </rPh>
    <phoneticPr fontId="1"/>
  </si>
  <si>
    <t>EDFホバークラフト設計</t>
    <phoneticPr fontId="1"/>
  </si>
  <si>
    <t>PS</t>
    <phoneticPr fontId="1"/>
  </si>
  <si>
    <t>効率</t>
    <rPh sb="0" eb="2">
      <t xml:space="preserve">コウリツ </t>
    </rPh>
    <phoneticPr fontId="1"/>
  </si>
  <si>
    <t>COX049ホバークラフト設計</t>
    <phoneticPr fontId="1"/>
  </si>
  <si>
    <t>入力欄</t>
    <rPh sb="0" eb="3">
      <t xml:space="preserve">ニュウリョクラｎ </t>
    </rPh>
    <phoneticPr fontId="1"/>
  </si>
  <si>
    <t>COX020ホバークラフト設計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</si>
</sst>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);[Red]\(0.00\)"/>
    <numFmt numFmtId="177" formatCode="0_);[Red]\(0\)"/>
    <numFmt numFmtId="178" formatCode="0.0_);[Red]\(0.0\)"/>
    <numFmt numFmtId="179" formatCode="0.000_);[Red]\(0.000\)"/>
    <numFmt numFmtId="180" formatCode="0.0000_);[Red]\(0.0000\)"/>
    <numFmt numFmtId="181" formatCode="0.00000_);[Red]\(0.00000\)"/>
  </numFmts>
  <fonts count="5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name val="游ゴシック"/>
      <family val="2"/>
      <charset val="128"/>
      <scheme val="minor"/>
    </font>
    <font>
      <b/>
      <sz val="12"/>
      <color rgb="FF00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176" fontId="0" fillId="0" borderId="2" xfId="0" applyNumberFormat="1" applyBorder="1">
      <alignment vertical="center"/>
    </xf>
    <xf numFmtId="176" fontId="0" fillId="0" borderId="1" xfId="0" applyNumberFormat="1" applyBorder="1">
      <alignment vertical="center"/>
    </xf>
    <xf numFmtId="176" fontId="2" fillId="0" borderId="0" xfId="0" applyNumberFormat="1" applyFon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2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4" xfId="0" applyNumberFormat="1" applyBorder="1">
      <alignment vertical="center"/>
    </xf>
    <xf numFmtId="176" fontId="2" fillId="2" borderId="7" xfId="0" applyNumberFormat="1" applyFont="1" applyFill="1" applyBorder="1">
      <alignment vertical="center"/>
    </xf>
    <xf numFmtId="176" fontId="0" fillId="2" borderId="8" xfId="0" applyNumberFormat="1" applyFill="1" applyBorder="1">
      <alignment vertical="center"/>
    </xf>
    <xf numFmtId="176" fontId="0" fillId="2" borderId="9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176" fontId="2" fillId="0" borderId="10" xfId="0" applyNumberFormat="1" applyFont="1" applyBorder="1">
      <alignment vertical="center"/>
    </xf>
    <xf numFmtId="176" fontId="0" fillId="0" borderId="3" xfId="0" applyNumberFormat="1" applyBorder="1">
      <alignment vertical="center"/>
    </xf>
    <xf numFmtId="176" fontId="2" fillId="2" borderId="10" xfId="0" applyNumberFormat="1" applyFont="1" applyFill="1" applyBorder="1">
      <alignment vertical="center"/>
    </xf>
    <xf numFmtId="176" fontId="0" fillId="2" borderId="2" xfId="0" applyNumberFormat="1" applyFill="1" applyBorder="1">
      <alignment vertical="center"/>
    </xf>
    <xf numFmtId="176" fontId="0" fillId="2" borderId="3" xfId="0" applyNumberFormat="1" applyFill="1" applyBorder="1">
      <alignment vertical="center"/>
    </xf>
    <xf numFmtId="176" fontId="0" fillId="3" borderId="2" xfId="0" applyNumberFormat="1" applyFill="1" applyBorder="1">
      <alignment vertical="center"/>
    </xf>
    <xf numFmtId="176" fontId="0" fillId="0" borderId="2" xfId="0" applyNumberFormat="1" applyFill="1" applyBorder="1">
      <alignment vertical="center"/>
    </xf>
    <xf numFmtId="176" fontId="0" fillId="0" borderId="3" xfId="0" applyNumberFormat="1" applyFill="1" applyBorder="1">
      <alignment vertical="center"/>
    </xf>
    <xf numFmtId="176" fontId="2" fillId="0" borderId="10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0" fillId="0" borderId="5" xfId="0" applyNumberFormat="1" applyBorder="1">
      <alignment vertical="center"/>
    </xf>
    <xf numFmtId="176" fontId="0" fillId="0" borderId="6" xfId="0" applyNumberFormat="1" applyBorder="1">
      <alignment vertical="center"/>
    </xf>
    <xf numFmtId="177" fontId="0" fillId="3" borderId="2" xfId="0" applyNumberFormat="1" applyFill="1" applyBorder="1">
      <alignment vertical="center"/>
    </xf>
    <xf numFmtId="179" fontId="0" fillId="3" borderId="2" xfId="0" applyNumberFormat="1" applyFill="1" applyBorder="1">
      <alignment vertical="center"/>
    </xf>
    <xf numFmtId="180" fontId="0" fillId="0" borderId="2" xfId="0" applyNumberFormat="1" applyBorder="1">
      <alignment vertical="center"/>
    </xf>
    <xf numFmtId="181" fontId="0" fillId="0" borderId="2" xfId="0" applyNumberFormat="1" applyBorder="1">
      <alignment vertical="center"/>
    </xf>
    <xf numFmtId="179" fontId="0" fillId="0" borderId="2" xfId="0" applyNumberFormat="1" applyBorder="1">
      <alignment vertical="center"/>
    </xf>
    <xf numFmtId="178" fontId="0" fillId="0" borderId="2" xfId="0" applyNumberFormat="1" applyBorder="1">
      <alignment vertical="center"/>
    </xf>
    <xf numFmtId="177" fontId="0" fillId="0" borderId="2" xfId="0" applyNumberFormat="1" applyBorder="1">
      <alignment vertical="center"/>
    </xf>
    <xf numFmtId="176" fontId="3" fillId="0" borderId="2" xfId="0" applyNumberFormat="1" applyFont="1" applyFill="1" applyBorder="1">
      <alignment vertical="center"/>
    </xf>
    <xf numFmtId="176" fontId="3" fillId="0" borderId="3" xfId="0" applyNumberFormat="1" applyFont="1" applyFill="1" applyBorder="1">
      <alignment vertical="center"/>
    </xf>
    <xf numFmtId="178" fontId="0" fillId="3" borderId="2" xfId="0" applyNumberFormat="1" applyFill="1" applyBorder="1">
      <alignment vertical="center"/>
    </xf>
    <xf numFmtId="176" fontId="3" fillId="4" borderId="3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0" fillId="4" borderId="3" xfId="0" applyNumberFormat="1" applyFill="1" applyBorder="1">
      <alignment vertical="center"/>
    </xf>
    <xf numFmtId="176" fontId="0" fillId="4" borderId="2" xfId="0" applyNumberFormat="1" applyFill="1" applyBorder="1">
      <alignment vertical="center"/>
    </xf>
    <xf numFmtId="176" fontId="2" fillId="0" borderId="0" xfId="0" applyNumberFormat="1" applyFont="1">
      <alignment vertical="center"/>
    </xf>
    <xf numFmtId="180" fontId="0" fillId="0" borderId="1" xfId="0" applyNumberFormat="1" applyBorder="1">
      <alignment vertical="center"/>
    </xf>
    <xf numFmtId="176" fontId="4" fillId="0" borderId="10" xfId="0" applyNumberFormat="1" applyFont="1" applyBorder="1">
      <alignment vertical="center"/>
    </xf>
    <xf numFmtId="176" fontId="0" fillId="3" borderId="2" xfId="0" applyNumberFormat="1" applyFill="1" applyBorder="1" applyAlignment="1">
      <alignment horizontal="center" vertical="center"/>
    </xf>
    <xf numFmtId="176" fontId="0" fillId="3" borderId="1" xfId="0" applyNumberForma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63500</xdr:colOff>
      <xdr:row>1</xdr:row>
      <xdr:rowOff>63500</xdr:rowOff>
    </xdr:from>
    <xdr:ext cx="7141968" cy="10058400"/>
    <xdr:pic>
      <xdr:nvPicPr>
        <xdr:cNvPr id="2" name="図 1">
          <a:extLst>
            <a:ext uri="{FF2B5EF4-FFF2-40B4-BE49-F238E27FC236}">
              <a16:creationId xmlns:a16="http://schemas.microsoft.com/office/drawing/2014/main" id="{1B12E316-BC15-FC4B-8E81-E3E0F883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1000" y="317500"/>
          <a:ext cx="7141968" cy="10058400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7</xdr:col>
      <xdr:colOff>728785</xdr:colOff>
      <xdr:row>26</xdr:row>
      <xdr:rowOff>66056</xdr:rowOff>
    </xdr:from>
    <xdr:to>
      <xdr:col>13</xdr:col>
      <xdr:colOff>722923</xdr:colOff>
      <xdr:row>26</xdr:row>
      <xdr:rowOff>66056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8071511C-6041-514F-A32C-7180CB6FF970}"/>
            </a:ext>
          </a:extLst>
        </xdr:cNvPr>
        <xdr:cNvCxnSpPr/>
      </xdr:nvCxnSpPr>
      <xdr:spPr>
        <a:xfrm>
          <a:off x="7396285" y="6670056"/>
          <a:ext cx="5709138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374313</xdr:colOff>
      <xdr:row>16</xdr:row>
      <xdr:rowOff>11703</xdr:rowOff>
    </xdr:from>
    <xdr:to>
      <xdr:col>12</xdr:col>
      <xdr:colOff>131241</xdr:colOff>
      <xdr:row>16</xdr:row>
      <xdr:rowOff>11703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CE6B1CF5-B56E-874B-97D1-EE10D54E70EF}"/>
            </a:ext>
          </a:extLst>
        </xdr:cNvPr>
        <xdr:cNvCxnSpPr/>
      </xdr:nvCxnSpPr>
      <xdr:spPr>
        <a:xfrm>
          <a:off x="10851813" y="4075703"/>
          <a:ext cx="709428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120327</xdr:colOff>
      <xdr:row>16</xdr:row>
      <xdr:rowOff>17589</xdr:rowOff>
    </xdr:from>
    <xdr:to>
      <xdr:col>12</xdr:col>
      <xdr:colOff>120327</xdr:colOff>
      <xdr:row>18</xdr:row>
      <xdr:rowOff>230910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F4C3F977-4D3E-EF41-B4C7-13F8A41F75FC}"/>
            </a:ext>
          </a:extLst>
        </xdr:cNvPr>
        <xdr:cNvCxnSpPr/>
      </xdr:nvCxnSpPr>
      <xdr:spPr>
        <a:xfrm>
          <a:off x="11550327" y="4081589"/>
          <a:ext cx="0" cy="721321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9770</xdr:colOff>
      <xdr:row>8</xdr:row>
      <xdr:rowOff>117232</xdr:rowOff>
    </xdr:from>
    <xdr:to>
      <xdr:col>11</xdr:col>
      <xdr:colOff>360710</xdr:colOff>
      <xdr:row>16</xdr:row>
      <xdr:rowOff>7514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476177-9389-BF43-A161-D8C622505B64}"/>
            </a:ext>
          </a:extLst>
        </xdr:cNvPr>
        <xdr:cNvCxnSpPr/>
      </xdr:nvCxnSpPr>
      <xdr:spPr>
        <a:xfrm flipH="1" flipV="1">
          <a:off x="6677270" y="2149232"/>
          <a:ext cx="4160940" cy="1922282"/>
        </a:xfrm>
        <a:prstGeom prst="straightConnector1">
          <a:avLst/>
        </a:prstGeom>
        <a:ln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26737</xdr:colOff>
      <xdr:row>6</xdr:row>
      <xdr:rowOff>147054</xdr:rowOff>
    </xdr:from>
    <xdr:to>
      <xdr:col>12</xdr:col>
      <xdr:colOff>120237</xdr:colOff>
      <xdr:row>18</xdr:row>
      <xdr:rowOff>221687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E6CBA68E-D91E-2C4E-9DA3-797A4A4C765B}"/>
            </a:ext>
          </a:extLst>
        </xdr:cNvPr>
        <xdr:cNvCxnSpPr/>
      </xdr:nvCxnSpPr>
      <xdr:spPr>
        <a:xfrm flipH="1" flipV="1">
          <a:off x="6694237" y="1671054"/>
          <a:ext cx="4856000" cy="3122633"/>
        </a:xfrm>
        <a:prstGeom prst="straightConnector1">
          <a:avLst/>
        </a:prstGeom>
        <a:ln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14</xdr:row>
      <xdr:rowOff>222249</xdr:rowOff>
    </xdr:from>
    <xdr:to>
      <xdr:col>14</xdr:col>
      <xdr:colOff>876300</xdr:colOff>
      <xdr:row>51</xdr:row>
      <xdr:rowOff>174624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8265781-36C0-4A44-B6C0-39BDB0616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3790949"/>
          <a:ext cx="7480300" cy="935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355600</xdr:colOff>
      <xdr:row>1</xdr:row>
      <xdr:rowOff>101600</xdr:rowOff>
    </xdr:from>
    <xdr:to>
      <xdr:col>14</xdr:col>
      <xdr:colOff>889000</xdr:colOff>
      <xdr:row>14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89A0E90-F1D6-674E-8BD3-A54EF8254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0" y="368300"/>
          <a:ext cx="3390900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A36DE-A898-2040-827E-A00E6CE3C56A}">
  <sheetPr>
    <pageSetUpPr fitToPage="1"/>
  </sheetPr>
  <dimension ref="A1:G31"/>
  <sheetViews>
    <sheetView zoomScaleNormal="100" workbookViewId="0">
      <selection activeCell="D3" sqref="D3"/>
    </sheetView>
  </sheetViews>
  <sheetFormatPr baseColWidth="10" defaultRowHeight="20"/>
  <cols>
    <col min="1" max="1" width="13.42578125" style="22" customWidth="1"/>
    <col min="2" max="2" width="9.42578125" style="1" customWidth="1"/>
    <col min="3" max="3" width="8.5703125" style="13" customWidth="1"/>
    <col min="4" max="4" width="9.42578125" style="1" customWidth="1"/>
    <col min="5" max="5" width="8.5703125" style="13" customWidth="1"/>
    <col min="6" max="6" width="9.42578125" style="1" customWidth="1"/>
    <col min="7" max="7" width="8.5703125" style="13" customWidth="1"/>
    <col min="8" max="16384" width="10.7109375" style="2"/>
  </cols>
  <sheetData>
    <row r="1" spans="1:7" s="7" customFormat="1" ht="21" thickBot="1">
      <c r="A1" s="3" t="s">
        <v>46</v>
      </c>
      <c r="B1" s="4"/>
      <c r="C1" s="5"/>
      <c r="D1" s="4"/>
      <c r="E1" s="5"/>
      <c r="F1" s="4"/>
      <c r="G1" s="6"/>
    </row>
    <row r="2" spans="1:7" s="11" customFormat="1">
      <c r="A2" s="8" t="s">
        <v>30</v>
      </c>
      <c r="B2" s="9"/>
      <c r="C2" s="10"/>
      <c r="D2" s="9"/>
      <c r="E2" s="10"/>
      <c r="F2" s="9"/>
      <c r="G2" s="10"/>
    </row>
    <row r="3" spans="1:7">
      <c r="A3" s="12" t="s">
        <v>33</v>
      </c>
      <c r="B3" s="31">
        <v>1.3</v>
      </c>
      <c r="C3" s="13" t="s">
        <v>11</v>
      </c>
      <c r="D3" s="43" t="s">
        <v>55</v>
      </c>
    </row>
    <row r="4" spans="1:7">
      <c r="A4" s="12" t="s">
        <v>32</v>
      </c>
      <c r="B4" s="31">
        <v>9.8000000000000007</v>
      </c>
      <c r="C4" s="13" t="s">
        <v>29</v>
      </c>
    </row>
    <row r="5" spans="1:7">
      <c r="A5" s="12"/>
    </row>
    <row r="6" spans="1:7" s="11" customFormat="1">
      <c r="A6" s="14" t="s">
        <v>43</v>
      </c>
      <c r="B6" s="15"/>
      <c r="C6" s="16"/>
      <c r="D6" s="15"/>
      <c r="E6" s="16"/>
      <c r="F6" s="15"/>
      <c r="G6" s="16"/>
    </row>
    <row r="7" spans="1:7">
      <c r="A7" s="12" t="s">
        <v>1</v>
      </c>
      <c r="B7" s="17">
        <v>7.8</v>
      </c>
      <c r="C7" s="13" t="s">
        <v>4</v>
      </c>
      <c r="D7" s="28">
        <f>B7/60</f>
        <v>0.13</v>
      </c>
      <c r="E7" s="13" t="s">
        <v>0</v>
      </c>
      <c r="F7" s="18"/>
      <c r="G7" s="19"/>
    </row>
    <row r="8" spans="1:7">
      <c r="A8" s="12" t="s">
        <v>2</v>
      </c>
      <c r="B8" s="17">
        <v>75</v>
      </c>
      <c r="C8" s="13" t="s">
        <v>3</v>
      </c>
      <c r="D8" s="1">
        <f>B8*3.6</f>
        <v>270</v>
      </c>
      <c r="E8" s="13" t="s">
        <v>5</v>
      </c>
      <c r="F8" s="18"/>
      <c r="G8" s="19"/>
    </row>
    <row r="9" spans="1:7">
      <c r="A9" s="12" t="s">
        <v>6</v>
      </c>
      <c r="B9" s="18">
        <f>0.5 * B3 * (1/B4) * B8*B8</f>
        <v>373.08673469387753</v>
      </c>
      <c r="C9" s="19" t="s">
        <v>7</v>
      </c>
      <c r="D9" s="18">
        <f>B9*$B$4</f>
        <v>3656.25</v>
      </c>
      <c r="E9" s="19" t="s">
        <v>24</v>
      </c>
      <c r="F9" s="33"/>
      <c r="G9" s="34"/>
    </row>
    <row r="10" spans="1:7">
      <c r="A10" s="12" t="s">
        <v>50</v>
      </c>
      <c r="B10" s="1">
        <f>0.5*D7*B3*B8^2</f>
        <v>475.31250000000006</v>
      </c>
      <c r="C10" s="13" t="s">
        <v>48</v>
      </c>
      <c r="D10" s="1">
        <f>B10*0.00135962</f>
        <v>0.64624438125000006</v>
      </c>
      <c r="E10" s="13" t="s">
        <v>52</v>
      </c>
    </row>
    <row r="11" spans="1:7" s="11" customFormat="1">
      <c r="A11" s="14" t="s">
        <v>42</v>
      </c>
      <c r="B11" s="15"/>
      <c r="C11" s="16"/>
      <c r="D11" s="15"/>
      <c r="E11" s="16"/>
      <c r="F11" s="15"/>
      <c r="G11" s="16"/>
    </row>
    <row r="12" spans="1:7">
      <c r="A12" s="12" t="s">
        <v>39</v>
      </c>
      <c r="B12" s="26">
        <v>50</v>
      </c>
      <c r="C12" s="13" t="s">
        <v>13</v>
      </c>
      <c r="D12" s="1">
        <f>B12/100</f>
        <v>0.5</v>
      </c>
      <c r="E12" s="13" t="s">
        <v>14</v>
      </c>
    </row>
    <row r="13" spans="1:7">
      <c r="A13" s="12" t="s">
        <v>12</v>
      </c>
      <c r="B13" s="26">
        <v>40</v>
      </c>
      <c r="C13" s="13" t="s">
        <v>13</v>
      </c>
      <c r="D13" s="1">
        <f>B13/100</f>
        <v>0.4</v>
      </c>
      <c r="E13" s="13" t="s">
        <v>14</v>
      </c>
    </row>
    <row r="14" spans="1:7">
      <c r="A14" s="12" t="s">
        <v>15</v>
      </c>
      <c r="B14" s="32">
        <f>B12*B13</f>
        <v>2000</v>
      </c>
      <c r="C14" s="13" t="s">
        <v>16</v>
      </c>
      <c r="D14" s="1">
        <f>D12*D13</f>
        <v>0.2</v>
      </c>
      <c r="E14" s="13" t="s">
        <v>17</v>
      </c>
    </row>
    <row r="15" spans="1:7">
      <c r="A15" s="12" t="s">
        <v>21</v>
      </c>
      <c r="B15" s="32">
        <f>(B12+B13)*2</f>
        <v>180</v>
      </c>
      <c r="C15" s="13" t="s">
        <v>13</v>
      </c>
      <c r="D15" s="1">
        <f>(D12+D13)*2</f>
        <v>1.8</v>
      </c>
      <c r="E15" s="13" t="s">
        <v>14</v>
      </c>
    </row>
    <row r="16" spans="1:7">
      <c r="A16" s="12" t="s">
        <v>20</v>
      </c>
      <c r="B16" s="27">
        <v>7</v>
      </c>
      <c r="C16" s="13" t="s">
        <v>19</v>
      </c>
    </row>
    <row r="17" spans="1:7">
      <c r="A17" s="20" t="s">
        <v>31</v>
      </c>
      <c r="B17" s="17">
        <v>0.25</v>
      </c>
    </row>
    <row r="18" spans="1:7">
      <c r="A18" s="12"/>
    </row>
    <row r="19" spans="1:7" s="11" customFormat="1">
      <c r="A19" s="14" t="s">
        <v>40</v>
      </c>
      <c r="B19" s="15"/>
      <c r="C19" s="16"/>
      <c r="D19" s="15"/>
      <c r="E19" s="16"/>
      <c r="F19" s="15"/>
      <c r="G19" s="16"/>
    </row>
    <row r="20" spans="1:7">
      <c r="A20" s="12" t="s">
        <v>18</v>
      </c>
      <c r="B20" s="1">
        <f>D14*B9</f>
        <v>74.617346938775512</v>
      </c>
      <c r="C20" s="13" t="s">
        <v>19</v>
      </c>
    </row>
    <row r="21" spans="1:7">
      <c r="A21" s="21" t="s">
        <v>28</v>
      </c>
      <c r="B21" s="1">
        <f>B20/B16</f>
        <v>10.659620991253645</v>
      </c>
    </row>
    <row r="22" spans="1:7">
      <c r="A22" s="12" t="s">
        <v>37</v>
      </c>
      <c r="B22" s="18">
        <f>B16/D14</f>
        <v>35</v>
      </c>
      <c r="C22" s="19" t="s">
        <v>7</v>
      </c>
      <c r="D22" s="18">
        <f>B22*B4</f>
        <v>343</v>
      </c>
      <c r="E22" s="19" t="s">
        <v>24</v>
      </c>
      <c r="F22" s="1">
        <f>B22/10</f>
        <v>3.5</v>
      </c>
      <c r="G22" s="13" t="s">
        <v>27</v>
      </c>
    </row>
    <row r="23" spans="1:7">
      <c r="A23" s="12" t="s">
        <v>22</v>
      </c>
      <c r="B23" s="1">
        <f>SQRT(B22*2/(B3/B4))</f>
        <v>22.971554315986275</v>
      </c>
      <c r="C23" s="13" t="s">
        <v>3</v>
      </c>
    </row>
    <row r="24" spans="1:7">
      <c r="A24" s="22" t="s">
        <v>34</v>
      </c>
      <c r="B24" s="1">
        <f>B7*B17</f>
        <v>1.95</v>
      </c>
      <c r="C24" s="13" t="s">
        <v>4</v>
      </c>
      <c r="D24" s="28">
        <f>B24/60</f>
        <v>3.2500000000000001E-2</v>
      </c>
      <c r="E24" s="13" t="s">
        <v>0</v>
      </c>
    </row>
    <row r="25" spans="1:7">
      <c r="A25" s="12" t="s">
        <v>26</v>
      </c>
      <c r="B25" s="29">
        <f>D24/(B23*D15)</f>
        <v>7.8599625028378693E-4</v>
      </c>
      <c r="C25" s="13" t="s">
        <v>14</v>
      </c>
      <c r="D25" s="1">
        <f>B25*1000</f>
        <v>0.78599625028378695</v>
      </c>
      <c r="E25" s="13" t="s">
        <v>23</v>
      </c>
      <c r="F25" s="18"/>
    </row>
    <row r="26" spans="1:7">
      <c r="A26" s="12"/>
    </row>
    <row r="27" spans="1:7" s="11" customFormat="1">
      <c r="A27" s="14" t="s">
        <v>41</v>
      </c>
      <c r="B27" s="15"/>
      <c r="C27" s="16"/>
      <c r="D27" s="15"/>
      <c r="E27" s="16"/>
      <c r="F27" s="15"/>
      <c r="G27" s="16"/>
    </row>
    <row r="28" spans="1:7">
      <c r="A28" s="12" t="s">
        <v>8</v>
      </c>
      <c r="B28" s="30">
        <f>B3*D7*B8*(1-B17)</f>
        <v>9.5062500000000014</v>
      </c>
      <c r="C28" s="13" t="s">
        <v>9</v>
      </c>
      <c r="D28" s="30">
        <f>B28/B4</f>
        <v>0.97002551020408168</v>
      </c>
      <c r="E28" s="13" t="s">
        <v>10</v>
      </c>
    </row>
    <row r="29" spans="1:7">
      <c r="A29" s="12" t="s">
        <v>25</v>
      </c>
      <c r="B29" s="1">
        <f>B28/B16</f>
        <v>1.3580357142857145</v>
      </c>
      <c r="C29" s="13" t="s">
        <v>29</v>
      </c>
    </row>
    <row r="30" spans="1:7">
      <c r="A30" s="22" t="s">
        <v>35</v>
      </c>
      <c r="B30" s="1">
        <f>ASIN(D28/B16)*180/3.1415</f>
        <v>7.9656351716907245</v>
      </c>
      <c r="C30" s="13" t="s">
        <v>36</v>
      </c>
    </row>
    <row r="31" spans="1:7">
      <c r="A31" s="23"/>
      <c r="B31" s="24"/>
      <c r="C31" s="25"/>
      <c r="D31" s="24"/>
      <c r="E31" s="25"/>
      <c r="F31" s="24"/>
      <c r="G31" s="25"/>
    </row>
  </sheetData>
  <phoneticPr fontId="1"/>
  <conditionalFormatting sqref="D25">
    <cfRule type="iconSet" priority="1">
      <iconSet>
        <cfvo type="percent" val="0"/>
        <cfvo type="num" val="1"/>
        <cfvo type="num" val="2"/>
      </iconSet>
    </cfRule>
  </conditionalFormatting>
  <pageMargins left="0.7" right="0.7" top="0.75" bottom="0.75" header="0.3" footer="0.3"/>
  <pageSetup paperSize="9" scale="71" fitToHeight="5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35BD1-2B62-CA48-95AB-33E74E77263C}">
  <sheetPr>
    <pageSetUpPr fitToPage="1"/>
  </sheetPr>
  <dimension ref="A1:G31"/>
  <sheetViews>
    <sheetView zoomScaleNormal="100" workbookViewId="0">
      <selection activeCell="D3" sqref="D3"/>
    </sheetView>
  </sheetViews>
  <sheetFormatPr baseColWidth="10" defaultRowHeight="20"/>
  <cols>
    <col min="1" max="1" width="13.42578125" style="22" customWidth="1"/>
    <col min="2" max="2" width="9.42578125" style="1" customWidth="1"/>
    <col min="3" max="3" width="8.5703125" style="13" customWidth="1"/>
    <col min="4" max="4" width="9.42578125" style="1" customWidth="1"/>
    <col min="5" max="5" width="8.5703125" style="13" customWidth="1"/>
    <col min="6" max="6" width="9.42578125" style="1" customWidth="1"/>
    <col min="7" max="7" width="8.5703125" style="13" customWidth="1"/>
    <col min="8" max="16384" width="10.7109375" style="2"/>
  </cols>
  <sheetData>
    <row r="1" spans="1:7" s="7" customFormat="1" ht="21" thickBot="1">
      <c r="A1" s="40" t="s">
        <v>38</v>
      </c>
      <c r="B1" s="4"/>
      <c r="C1" s="5"/>
      <c r="D1" s="4"/>
      <c r="E1" s="5"/>
      <c r="F1" s="4"/>
      <c r="G1" s="6"/>
    </row>
    <row r="2" spans="1:7" s="11" customFormat="1">
      <c r="A2" s="8" t="s">
        <v>30</v>
      </c>
      <c r="B2" s="9"/>
      <c r="C2" s="10"/>
      <c r="D2" s="9"/>
      <c r="E2" s="10"/>
      <c r="F2" s="9"/>
      <c r="G2" s="10"/>
    </row>
    <row r="3" spans="1:7">
      <c r="A3" s="12" t="s">
        <v>33</v>
      </c>
      <c r="B3" s="31">
        <v>1.3</v>
      </c>
      <c r="C3" s="13" t="s">
        <v>11</v>
      </c>
      <c r="D3" s="43" t="s">
        <v>55</v>
      </c>
    </row>
    <row r="4" spans="1:7">
      <c r="A4" s="12" t="s">
        <v>32</v>
      </c>
      <c r="B4" s="31">
        <v>9.8000000000000007</v>
      </c>
      <c r="C4" s="13" t="s">
        <v>29</v>
      </c>
    </row>
    <row r="5" spans="1:7">
      <c r="A5" s="12"/>
    </row>
    <row r="6" spans="1:7" s="11" customFormat="1">
      <c r="A6" s="14" t="s">
        <v>43</v>
      </c>
      <c r="B6" s="15"/>
      <c r="C6" s="16"/>
      <c r="D6" s="15"/>
      <c r="E6" s="16"/>
      <c r="F6" s="15"/>
      <c r="G6" s="16"/>
    </row>
    <row r="7" spans="1:7">
      <c r="A7" s="12" t="s">
        <v>1</v>
      </c>
      <c r="B7" s="17">
        <f>F7*((12*25.4/1000)^3)</f>
        <v>0.76455485798399969</v>
      </c>
      <c r="C7" s="13" t="s">
        <v>4</v>
      </c>
      <c r="D7" s="28">
        <f>B7/60</f>
        <v>1.2742580966399995E-2</v>
      </c>
      <c r="E7" s="13" t="s">
        <v>0</v>
      </c>
      <c r="F7" s="39">
        <v>27</v>
      </c>
      <c r="G7" s="38" t="s">
        <v>45</v>
      </c>
    </row>
    <row r="8" spans="1:7">
      <c r="A8" s="12" t="s">
        <v>2</v>
      </c>
      <c r="B8" s="17">
        <v>9.52</v>
      </c>
      <c r="C8" s="13" t="s">
        <v>3</v>
      </c>
      <c r="D8" s="1">
        <f>B8*3.6</f>
        <v>34.271999999999998</v>
      </c>
      <c r="E8" s="13" t="s">
        <v>5</v>
      </c>
    </row>
    <row r="9" spans="1:7">
      <c r="A9" s="12" t="s">
        <v>6</v>
      </c>
      <c r="B9" s="1">
        <f>0.5 * B3 * (1/B4) * B8*B8</f>
        <v>6.0111999999999988</v>
      </c>
      <c r="C9" s="13" t="s">
        <v>7</v>
      </c>
      <c r="D9" s="1">
        <f>B9*$B$4</f>
        <v>58.909759999999991</v>
      </c>
      <c r="E9" s="13" t="s">
        <v>24</v>
      </c>
      <c r="F9" s="37">
        <f>D9/9.8</f>
        <v>6.0111999999999988</v>
      </c>
      <c r="G9" s="36" t="s">
        <v>44</v>
      </c>
    </row>
    <row r="10" spans="1:7">
      <c r="A10" s="42" t="s">
        <v>49</v>
      </c>
      <c r="B10" s="1">
        <f>0.5*D7*B3*B8^2</f>
        <v>0.75066238651119177</v>
      </c>
      <c r="C10" s="13" t="s">
        <v>48</v>
      </c>
      <c r="D10" s="28">
        <f>B10*0.00135962</f>
        <v>1.0206155939483466E-3</v>
      </c>
      <c r="E10" s="13" t="s">
        <v>52</v>
      </c>
      <c r="F10" s="1" t="s">
        <v>53</v>
      </c>
      <c r="G10" s="13">
        <f>B10/(12*0.49)</f>
        <v>0.12766367117537275</v>
      </c>
    </row>
    <row r="11" spans="1:7" s="11" customFormat="1">
      <c r="A11" s="14" t="s">
        <v>42</v>
      </c>
      <c r="B11" s="15"/>
      <c r="C11" s="16"/>
      <c r="D11" s="15"/>
      <c r="E11" s="16"/>
      <c r="F11" s="15"/>
      <c r="G11" s="16"/>
    </row>
    <row r="12" spans="1:7">
      <c r="A12" s="12" t="s">
        <v>39</v>
      </c>
      <c r="B12" s="26">
        <v>40</v>
      </c>
      <c r="C12" s="13" t="s">
        <v>13</v>
      </c>
      <c r="D12" s="1">
        <f>B12/100</f>
        <v>0.4</v>
      </c>
      <c r="E12" s="13" t="s">
        <v>14</v>
      </c>
    </row>
    <row r="13" spans="1:7">
      <c r="A13" s="12" t="s">
        <v>12</v>
      </c>
      <c r="B13" s="26">
        <v>25</v>
      </c>
      <c r="C13" s="13" t="s">
        <v>13</v>
      </c>
      <c r="D13" s="1">
        <f>B13/100</f>
        <v>0.25</v>
      </c>
      <c r="E13" s="13" t="s">
        <v>14</v>
      </c>
    </row>
    <row r="14" spans="1:7">
      <c r="A14" s="12" t="s">
        <v>15</v>
      </c>
      <c r="B14" s="32">
        <f>B12*B13</f>
        <v>1000</v>
      </c>
      <c r="C14" s="13" t="s">
        <v>16</v>
      </c>
      <c r="D14" s="1">
        <f>D12*D13</f>
        <v>0.1</v>
      </c>
      <c r="E14" s="13" t="s">
        <v>17</v>
      </c>
    </row>
    <row r="15" spans="1:7">
      <c r="A15" s="12" t="s">
        <v>21</v>
      </c>
      <c r="B15" s="32">
        <f>(B12+B13)*2</f>
        <v>130</v>
      </c>
      <c r="C15" s="13" t="s">
        <v>13</v>
      </c>
      <c r="D15" s="1">
        <f>(D12+D13)*2</f>
        <v>1.3</v>
      </c>
      <c r="E15" s="13" t="s">
        <v>14</v>
      </c>
    </row>
    <row r="16" spans="1:7">
      <c r="A16" s="12" t="s">
        <v>20</v>
      </c>
      <c r="B16" s="27">
        <v>0.375</v>
      </c>
      <c r="C16" s="13" t="s">
        <v>19</v>
      </c>
    </row>
    <row r="17" spans="1:7">
      <c r="A17" s="12" t="s">
        <v>31</v>
      </c>
      <c r="B17" s="35">
        <v>0.4</v>
      </c>
    </row>
    <row r="18" spans="1:7">
      <c r="A18" s="12"/>
    </row>
    <row r="19" spans="1:7" s="11" customFormat="1">
      <c r="A19" s="14" t="s">
        <v>40</v>
      </c>
      <c r="B19" s="15"/>
      <c r="C19" s="16"/>
      <c r="D19" s="15"/>
      <c r="E19" s="16"/>
      <c r="F19" s="15"/>
      <c r="G19" s="16"/>
    </row>
    <row r="20" spans="1:7">
      <c r="A20" s="12" t="s">
        <v>18</v>
      </c>
      <c r="B20" s="1">
        <f>D14*B9</f>
        <v>0.60111999999999988</v>
      </c>
      <c r="C20" s="13" t="s">
        <v>19</v>
      </c>
    </row>
    <row r="21" spans="1:7">
      <c r="A21" s="22" t="s">
        <v>28</v>
      </c>
      <c r="B21" s="1">
        <f>B20/B16</f>
        <v>1.6029866666666663</v>
      </c>
    </row>
    <row r="22" spans="1:7">
      <c r="A22" s="12" t="s">
        <v>37</v>
      </c>
      <c r="B22" s="1">
        <f>B16/D14</f>
        <v>3.75</v>
      </c>
      <c r="C22" s="13" t="s">
        <v>7</v>
      </c>
      <c r="D22" s="1">
        <f>B22*B4</f>
        <v>36.75</v>
      </c>
      <c r="E22" s="13" t="s">
        <v>24</v>
      </c>
      <c r="F22" s="1">
        <f>B22/10</f>
        <v>0.375</v>
      </c>
      <c r="G22" s="13" t="s">
        <v>27</v>
      </c>
    </row>
    <row r="23" spans="1:7">
      <c r="A23" s="12" t="s">
        <v>22</v>
      </c>
      <c r="B23" s="1">
        <f>SQRT(B22*2/(B3/B4))</f>
        <v>7.5192061774140448</v>
      </c>
      <c r="C23" s="13" t="s">
        <v>3</v>
      </c>
    </row>
    <row r="24" spans="1:7">
      <c r="A24" s="22" t="s">
        <v>34</v>
      </c>
      <c r="B24" s="1">
        <f>B7*B17</f>
        <v>0.3058219431935999</v>
      </c>
      <c r="C24" s="13" t="s">
        <v>4</v>
      </c>
      <c r="D24" s="28">
        <f>B24/60</f>
        <v>5.097032386559998E-3</v>
      </c>
      <c r="E24" s="13" t="s">
        <v>0</v>
      </c>
    </row>
    <row r="25" spans="1:7">
      <c r="A25" s="12" t="s">
        <v>26</v>
      </c>
      <c r="B25" s="29">
        <f>D24/(B23*D15)</f>
        <v>5.2143724363947473E-4</v>
      </c>
      <c r="C25" s="13" t="s">
        <v>14</v>
      </c>
      <c r="D25" s="1">
        <f>B25*1000</f>
        <v>0.52143724363947475</v>
      </c>
      <c r="E25" s="13" t="s">
        <v>23</v>
      </c>
    </row>
    <row r="26" spans="1:7">
      <c r="A26" s="12"/>
    </row>
    <row r="27" spans="1:7" s="11" customFormat="1">
      <c r="A27" s="14" t="s">
        <v>41</v>
      </c>
      <c r="B27" s="15"/>
      <c r="C27" s="16"/>
      <c r="D27" s="15"/>
      <c r="E27" s="16"/>
      <c r="F27" s="15"/>
      <c r="G27" s="16"/>
    </row>
    <row r="28" spans="1:7">
      <c r="A28" s="12" t="s">
        <v>8</v>
      </c>
      <c r="B28" s="30">
        <f>B3*D7*B8*(1-B17)</f>
        <v>9.4621309224099795E-2</v>
      </c>
      <c r="C28" s="13" t="s">
        <v>9</v>
      </c>
      <c r="D28" s="30">
        <f>B28/B4</f>
        <v>9.6552356351122231E-3</v>
      </c>
      <c r="E28" s="13" t="s">
        <v>10</v>
      </c>
    </row>
    <row r="29" spans="1:7">
      <c r="A29" s="12" t="s">
        <v>25</v>
      </c>
      <c r="B29" s="1">
        <f>B28/B16</f>
        <v>0.25232349126426612</v>
      </c>
      <c r="C29" s="13" t="s">
        <v>29</v>
      </c>
    </row>
    <row r="30" spans="1:7">
      <c r="A30" s="22" t="s">
        <v>35</v>
      </c>
      <c r="B30" s="1">
        <f>ASIN(D28/B16)*180/3.1415</f>
        <v>1.4754178933774145</v>
      </c>
      <c r="C30" s="13" t="s">
        <v>36</v>
      </c>
    </row>
    <row r="31" spans="1:7">
      <c r="A31" s="23"/>
      <c r="B31" s="24"/>
      <c r="C31" s="25"/>
      <c r="D31" s="24"/>
      <c r="E31" s="25"/>
      <c r="F31" s="24"/>
      <c r="G31" s="25"/>
    </row>
  </sheetData>
  <phoneticPr fontId="1"/>
  <conditionalFormatting sqref="D25">
    <cfRule type="iconSet" priority="1">
      <iconSet>
        <cfvo type="percent" val="0"/>
        <cfvo type="num" val="1"/>
        <cfvo type="num" val="2"/>
      </iconSet>
    </cfRule>
  </conditionalFormatting>
  <pageMargins left="0.7" right="0.7" top="0.75" bottom="0.75" header="0.3" footer="0.3"/>
  <pageSetup paperSize="9" scale="71" fitToHeight="5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27083-5795-D642-A547-F77F10688666}">
  <sheetPr>
    <pageSetUpPr fitToPage="1"/>
  </sheetPr>
  <dimension ref="A1:L31"/>
  <sheetViews>
    <sheetView zoomScaleNormal="100" workbookViewId="0">
      <selection activeCell="I10" sqref="I10"/>
    </sheetView>
  </sheetViews>
  <sheetFormatPr baseColWidth="10" defaultRowHeight="20"/>
  <cols>
    <col min="1" max="1" width="13.42578125" style="22" customWidth="1"/>
    <col min="2" max="2" width="9.42578125" style="1" customWidth="1"/>
    <col min="3" max="3" width="8.5703125" style="13" customWidth="1"/>
    <col min="4" max="4" width="9.42578125" style="1" customWidth="1"/>
    <col min="5" max="5" width="8.5703125" style="13" customWidth="1"/>
    <col min="6" max="6" width="9.42578125" style="1" customWidth="1"/>
    <col min="7" max="7" width="8.5703125" style="13" customWidth="1"/>
    <col min="8" max="16384" width="10.7109375" style="2"/>
  </cols>
  <sheetData>
    <row r="1" spans="1:12" s="7" customFormat="1" ht="21" thickBot="1">
      <c r="A1" s="40" t="s">
        <v>51</v>
      </c>
      <c r="B1" s="4"/>
      <c r="C1" s="5"/>
      <c r="D1" s="4"/>
      <c r="E1" s="5"/>
      <c r="F1" s="4"/>
      <c r="G1" s="6"/>
    </row>
    <row r="2" spans="1:12" s="11" customFormat="1">
      <c r="A2" s="8" t="s">
        <v>30</v>
      </c>
      <c r="B2" s="9"/>
      <c r="C2" s="10"/>
      <c r="D2" s="9"/>
      <c r="E2" s="10"/>
      <c r="F2" s="9"/>
      <c r="G2" s="10"/>
    </row>
    <row r="3" spans="1:12">
      <c r="A3" s="12" t="s">
        <v>33</v>
      </c>
      <c r="B3" s="31">
        <v>1.3</v>
      </c>
      <c r="C3" s="13" t="s">
        <v>11</v>
      </c>
      <c r="D3" s="43" t="s">
        <v>55</v>
      </c>
    </row>
    <row r="4" spans="1:12">
      <c r="A4" s="12" t="s">
        <v>32</v>
      </c>
      <c r="B4" s="31">
        <v>9.8000000000000007</v>
      </c>
      <c r="C4" s="13" t="s">
        <v>29</v>
      </c>
    </row>
    <row r="5" spans="1:12">
      <c r="A5" s="12"/>
    </row>
    <row r="6" spans="1:12" s="11" customFormat="1">
      <c r="A6" s="14" t="s">
        <v>43</v>
      </c>
      <c r="B6" s="15"/>
      <c r="C6" s="16"/>
      <c r="D6" s="15"/>
      <c r="E6" s="16"/>
      <c r="F6" s="15"/>
      <c r="G6" s="16"/>
    </row>
    <row r="7" spans="1:12">
      <c r="A7" s="12" t="s">
        <v>1</v>
      </c>
      <c r="B7" s="17">
        <f>I9</f>
        <v>8.1027071999999993</v>
      </c>
      <c r="C7" s="13" t="s">
        <v>4</v>
      </c>
      <c r="D7" s="28">
        <f>B7/60</f>
        <v>0.13504511999999999</v>
      </c>
      <c r="E7" s="13" t="s">
        <v>0</v>
      </c>
      <c r="H7" s="2" t="s">
        <v>47</v>
      </c>
      <c r="I7" s="44">
        <v>64</v>
      </c>
      <c r="J7" s="2" t="s">
        <v>23</v>
      </c>
    </row>
    <row r="8" spans="1:12">
      <c r="A8" s="12" t="s">
        <v>2</v>
      </c>
      <c r="B8" s="17">
        <f>I8</f>
        <v>42</v>
      </c>
      <c r="C8" s="13" t="s">
        <v>3</v>
      </c>
      <c r="D8" s="1">
        <f>B8*3.6</f>
        <v>151.20000000000002</v>
      </c>
      <c r="E8" s="13" t="s">
        <v>5</v>
      </c>
      <c r="H8" s="2" t="s">
        <v>2</v>
      </c>
      <c r="I8" s="44">
        <v>42</v>
      </c>
      <c r="J8" s="2" t="s">
        <v>3</v>
      </c>
    </row>
    <row r="9" spans="1:12">
      <c r="A9" s="12" t="s">
        <v>6</v>
      </c>
      <c r="B9" s="1">
        <f>0.5 * B3 * (1/B4) * B8*B8</f>
        <v>116.99999999999997</v>
      </c>
      <c r="C9" s="13" t="s">
        <v>7</v>
      </c>
      <c r="D9" s="1">
        <f>B9*$B$4</f>
        <v>1146.5999999999999</v>
      </c>
      <c r="E9" s="13" t="s">
        <v>24</v>
      </c>
      <c r="H9" s="2" t="s">
        <v>1</v>
      </c>
      <c r="I9" s="2">
        <f>60*I7*I7*3.14/4000000*I8</f>
        <v>8.1027071999999993</v>
      </c>
      <c r="J9" s="2" t="s">
        <v>4</v>
      </c>
    </row>
    <row r="10" spans="1:12">
      <c r="A10" s="12" t="s">
        <v>50</v>
      </c>
      <c r="B10" s="1">
        <f>0.5*D7*B3*B8^2</f>
        <v>154.842734592</v>
      </c>
      <c r="C10" s="13" t="s">
        <v>48</v>
      </c>
      <c r="D10" s="1">
        <f>B10*0.00135962</f>
        <v>0.21052727880597502</v>
      </c>
      <c r="E10" s="13" t="s">
        <v>52</v>
      </c>
      <c r="F10" s="1" t="s">
        <v>53</v>
      </c>
      <c r="G10" s="13">
        <f>B10/278</f>
        <v>0.55698825392805751</v>
      </c>
      <c r="H10" s="2" t="s">
        <v>8</v>
      </c>
      <c r="I10" s="2">
        <f>B3*I8*I9/60</f>
        <v>7.3734635519999996</v>
      </c>
      <c r="J10" s="2" t="s">
        <v>9</v>
      </c>
      <c r="K10" s="2">
        <f>I10/9.8</f>
        <v>0.75239423999999988</v>
      </c>
      <c r="L10" s="2" t="s">
        <v>10</v>
      </c>
    </row>
    <row r="11" spans="1:12" s="11" customFormat="1">
      <c r="A11" s="14" t="s">
        <v>42</v>
      </c>
      <c r="B11" s="15"/>
      <c r="C11" s="16"/>
      <c r="D11" s="15"/>
      <c r="E11" s="16"/>
      <c r="F11" s="15"/>
      <c r="G11" s="16"/>
    </row>
    <row r="12" spans="1:12">
      <c r="A12" s="12" t="s">
        <v>39</v>
      </c>
      <c r="B12" s="26">
        <v>30</v>
      </c>
      <c r="C12" s="13" t="s">
        <v>13</v>
      </c>
      <c r="D12" s="1">
        <f>B12/100</f>
        <v>0.3</v>
      </c>
      <c r="E12" s="13" t="s">
        <v>14</v>
      </c>
    </row>
    <row r="13" spans="1:12">
      <c r="A13" s="12" t="s">
        <v>12</v>
      </c>
      <c r="B13" s="26">
        <v>25</v>
      </c>
      <c r="C13" s="13" t="s">
        <v>13</v>
      </c>
      <c r="D13" s="1">
        <f>B13/100</f>
        <v>0.25</v>
      </c>
      <c r="E13" s="13" t="s">
        <v>14</v>
      </c>
    </row>
    <row r="14" spans="1:12">
      <c r="A14" s="12" t="s">
        <v>15</v>
      </c>
      <c r="B14" s="32">
        <f>B12*B13</f>
        <v>750</v>
      </c>
      <c r="C14" s="13" t="s">
        <v>16</v>
      </c>
      <c r="D14" s="1">
        <f>D12*D13</f>
        <v>7.4999999999999997E-2</v>
      </c>
      <c r="E14" s="13" t="s">
        <v>17</v>
      </c>
    </row>
    <row r="15" spans="1:12">
      <c r="A15" s="12" t="s">
        <v>21</v>
      </c>
      <c r="B15" s="32">
        <f>(B12+B13)*2</f>
        <v>110</v>
      </c>
      <c r="C15" s="13" t="s">
        <v>13</v>
      </c>
      <c r="D15" s="1">
        <f>(D12+D13)*2</f>
        <v>1.1000000000000001</v>
      </c>
      <c r="E15" s="13" t="s">
        <v>14</v>
      </c>
    </row>
    <row r="16" spans="1:12">
      <c r="A16" s="12" t="s">
        <v>20</v>
      </c>
      <c r="B16" s="27">
        <v>0.5</v>
      </c>
      <c r="C16" s="13" t="s">
        <v>19</v>
      </c>
    </row>
    <row r="17" spans="1:11">
      <c r="A17" s="12" t="s">
        <v>31</v>
      </c>
      <c r="B17" s="35">
        <v>0.4</v>
      </c>
    </row>
    <row r="18" spans="1:11">
      <c r="A18" s="12"/>
      <c r="K18"/>
    </row>
    <row r="19" spans="1:11" s="11" customFormat="1">
      <c r="A19" s="14" t="s">
        <v>40</v>
      </c>
      <c r="B19" s="15"/>
      <c r="C19" s="16"/>
      <c r="D19" s="15"/>
      <c r="E19" s="16"/>
      <c r="F19" s="15"/>
      <c r="G19" s="16"/>
    </row>
    <row r="20" spans="1:11">
      <c r="A20" s="12" t="s">
        <v>18</v>
      </c>
      <c r="B20" s="1">
        <f>D14*B9</f>
        <v>8.7749999999999968</v>
      </c>
      <c r="C20" s="13" t="s">
        <v>19</v>
      </c>
    </row>
    <row r="21" spans="1:11">
      <c r="A21" s="22" t="s">
        <v>28</v>
      </c>
      <c r="B21" s="1">
        <f>B20/B16</f>
        <v>17.549999999999994</v>
      </c>
    </row>
    <row r="22" spans="1:11">
      <c r="A22" s="12" t="s">
        <v>37</v>
      </c>
      <c r="B22" s="1">
        <f>B16/D14</f>
        <v>6.666666666666667</v>
      </c>
      <c r="C22" s="13" t="s">
        <v>7</v>
      </c>
      <c r="D22" s="1">
        <f>B22*B4</f>
        <v>65.333333333333343</v>
      </c>
      <c r="E22" s="13" t="s">
        <v>24</v>
      </c>
      <c r="F22" s="1">
        <f>B22/10</f>
        <v>0.66666666666666674</v>
      </c>
      <c r="G22" s="13" t="s">
        <v>27</v>
      </c>
    </row>
    <row r="23" spans="1:11">
      <c r="A23" s="12" t="s">
        <v>22</v>
      </c>
      <c r="B23" s="1">
        <f>SQRT(B22*2/(B3/B4))</f>
        <v>10.02560823655206</v>
      </c>
      <c r="C23" s="13" t="s">
        <v>3</v>
      </c>
      <c r="K23"/>
    </row>
    <row r="24" spans="1:11">
      <c r="A24" s="22" t="s">
        <v>34</v>
      </c>
      <c r="B24" s="1">
        <f>B7*B17</f>
        <v>3.24108288</v>
      </c>
      <c r="C24" s="13" t="s">
        <v>4</v>
      </c>
      <c r="D24" s="28">
        <f>B24/60</f>
        <v>5.4018047999999999E-2</v>
      </c>
      <c r="E24" s="13" t="s">
        <v>0</v>
      </c>
    </row>
    <row r="25" spans="1:11">
      <c r="A25" s="12" t="s">
        <v>26</v>
      </c>
      <c r="B25" s="29">
        <f>D24/(B23*D15)</f>
        <v>4.8981882400508615E-3</v>
      </c>
      <c r="C25" s="13" t="s">
        <v>14</v>
      </c>
      <c r="D25" s="1">
        <f>B25*1000</f>
        <v>4.8981882400508612</v>
      </c>
      <c r="E25" s="13" t="s">
        <v>23</v>
      </c>
    </row>
    <row r="26" spans="1:11">
      <c r="A26" s="12"/>
    </row>
    <row r="27" spans="1:11" s="11" customFormat="1">
      <c r="A27" s="14" t="s">
        <v>41</v>
      </c>
      <c r="B27" s="15"/>
      <c r="C27" s="16"/>
      <c r="D27" s="15"/>
      <c r="E27" s="16"/>
      <c r="F27" s="15"/>
      <c r="G27" s="16"/>
    </row>
    <row r="28" spans="1:11">
      <c r="A28" s="12" t="s">
        <v>8</v>
      </c>
      <c r="B28" s="30">
        <f>B3*D7*B8*(1-B17)</f>
        <v>4.4240781311999999</v>
      </c>
      <c r="C28" s="13" t="s">
        <v>9</v>
      </c>
      <c r="D28" s="30">
        <f>B28/B4</f>
        <v>0.45143654399999994</v>
      </c>
      <c r="E28" s="13" t="s">
        <v>10</v>
      </c>
    </row>
    <row r="29" spans="1:11">
      <c r="A29" s="12" t="s">
        <v>25</v>
      </c>
      <c r="B29" s="1">
        <f>B28/B16</f>
        <v>8.8481562623999999</v>
      </c>
      <c r="C29" s="13" t="s">
        <v>29</v>
      </c>
    </row>
    <row r="30" spans="1:11">
      <c r="A30" s="22" t="s">
        <v>35</v>
      </c>
      <c r="B30" s="1">
        <f>ATAN(D28/B16)*180/3.1415</f>
        <v>42.079271666315655</v>
      </c>
      <c r="C30" s="13" t="s">
        <v>36</v>
      </c>
    </row>
    <row r="31" spans="1:11">
      <c r="A31" s="23"/>
      <c r="B31" s="24"/>
      <c r="C31" s="25"/>
      <c r="D31" s="24"/>
      <c r="E31" s="25"/>
      <c r="F31" s="24"/>
      <c r="G31" s="25"/>
    </row>
  </sheetData>
  <phoneticPr fontId="1"/>
  <conditionalFormatting sqref="D25">
    <cfRule type="iconSet" priority="1">
      <iconSet>
        <cfvo type="percent" val="0"/>
        <cfvo type="num" val="1"/>
        <cfvo type="num" val="2"/>
      </iconSet>
    </cfRule>
  </conditionalFormatting>
  <pageMargins left="0.7" right="0.7" top="0.75" bottom="0.75" header="0.3" footer="0.3"/>
  <pageSetup paperSize="9" scale="71" fitToHeight="5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6C8FB-3D96-2C4B-8F7E-58A794B6F0C0}">
  <sheetPr>
    <pageSetUpPr fitToPage="1"/>
  </sheetPr>
  <dimension ref="A1:L31"/>
  <sheetViews>
    <sheetView zoomScaleNormal="100" workbookViewId="0">
      <selection activeCell="K10" sqref="K10"/>
    </sheetView>
  </sheetViews>
  <sheetFormatPr baseColWidth="10" defaultRowHeight="20"/>
  <cols>
    <col min="1" max="1" width="13.42578125" style="22" customWidth="1"/>
    <col min="2" max="2" width="9.42578125" style="1" customWidth="1"/>
    <col min="3" max="3" width="8.5703125" style="13" customWidth="1"/>
    <col min="4" max="4" width="9.42578125" style="1" customWidth="1"/>
    <col min="5" max="5" width="8.5703125" style="13" customWidth="1"/>
    <col min="6" max="6" width="9.42578125" style="1" customWidth="1"/>
    <col min="7" max="7" width="8.5703125" style="13" customWidth="1"/>
    <col min="8" max="16384" width="10.7109375" style="2"/>
  </cols>
  <sheetData>
    <row r="1" spans="1:12" s="7" customFormat="1" ht="21" thickBot="1">
      <c r="A1" s="40" t="s">
        <v>54</v>
      </c>
      <c r="B1" s="4"/>
      <c r="C1" s="5"/>
      <c r="D1" s="4"/>
      <c r="E1" s="5"/>
      <c r="F1" s="4"/>
      <c r="G1" s="6"/>
    </row>
    <row r="2" spans="1:12" s="11" customFormat="1">
      <c r="A2" s="8" t="s">
        <v>30</v>
      </c>
      <c r="B2" s="9"/>
      <c r="C2" s="10"/>
      <c r="D2" s="9"/>
      <c r="E2" s="10"/>
      <c r="F2" s="9"/>
      <c r="G2" s="10"/>
    </row>
    <row r="3" spans="1:12">
      <c r="A3" s="12" t="s">
        <v>33</v>
      </c>
      <c r="B3" s="31">
        <v>1.3</v>
      </c>
      <c r="C3" s="13" t="s">
        <v>11</v>
      </c>
      <c r="D3" s="43" t="s">
        <v>55</v>
      </c>
    </row>
    <row r="4" spans="1:12">
      <c r="A4" s="12" t="s">
        <v>32</v>
      </c>
      <c r="B4" s="31">
        <v>9.8000000000000007</v>
      </c>
      <c r="C4" s="13" t="s">
        <v>29</v>
      </c>
    </row>
    <row r="5" spans="1:12">
      <c r="A5" s="12"/>
    </row>
    <row r="6" spans="1:12" s="11" customFormat="1">
      <c r="A6" s="14" t="s">
        <v>43</v>
      </c>
      <c r="B6" s="15"/>
      <c r="C6" s="16"/>
      <c r="D6" s="15"/>
      <c r="E6" s="16"/>
      <c r="F6" s="15"/>
      <c r="G6" s="16"/>
    </row>
    <row r="7" spans="1:12">
      <c r="A7" s="12" t="s">
        <v>1</v>
      </c>
      <c r="B7" s="17">
        <f>I9</f>
        <v>7.9993872270000006</v>
      </c>
      <c r="C7" s="13" t="s">
        <v>4</v>
      </c>
      <c r="D7" s="28">
        <f>B7/60</f>
        <v>0.13332312045</v>
      </c>
      <c r="E7" s="13" t="s">
        <v>0</v>
      </c>
      <c r="H7" s="2" t="s">
        <v>47</v>
      </c>
      <c r="I7" s="44">
        <f>4.5*25.4</f>
        <v>114.3</v>
      </c>
      <c r="J7" s="2" t="s">
        <v>23</v>
      </c>
    </row>
    <row r="8" spans="1:12">
      <c r="A8" s="12" t="s">
        <v>2</v>
      </c>
      <c r="B8" s="17">
        <f>I8</f>
        <v>13</v>
      </c>
      <c r="C8" s="13" t="s">
        <v>3</v>
      </c>
      <c r="D8" s="1">
        <f>B8*3.6</f>
        <v>46.800000000000004</v>
      </c>
      <c r="E8" s="13" t="s">
        <v>5</v>
      </c>
      <c r="H8" s="2" t="s">
        <v>2</v>
      </c>
      <c r="I8" s="44">
        <v>13</v>
      </c>
      <c r="J8" s="2" t="s">
        <v>3</v>
      </c>
    </row>
    <row r="9" spans="1:12">
      <c r="A9" s="12" t="s">
        <v>6</v>
      </c>
      <c r="B9" s="1">
        <f>0.5 * B3 * (1/B4) * B8*B8</f>
        <v>11.209183673469386</v>
      </c>
      <c r="C9" s="13" t="s">
        <v>7</v>
      </c>
      <c r="D9" s="1">
        <f>B9*$B$4</f>
        <v>109.85</v>
      </c>
      <c r="E9" s="13" t="s">
        <v>24</v>
      </c>
      <c r="H9" s="2" t="s">
        <v>1</v>
      </c>
      <c r="I9" s="2">
        <f>60*I8*3.14*(I7/2000)^2</f>
        <v>7.9993872270000006</v>
      </c>
      <c r="J9" s="2" t="s">
        <v>4</v>
      </c>
    </row>
    <row r="10" spans="1:12">
      <c r="A10" s="12" t="s">
        <v>50</v>
      </c>
      <c r="B10" s="1">
        <f>0.5*D7*B3*B8^2</f>
        <v>14.6455447814325</v>
      </c>
      <c r="C10" s="13" t="s">
        <v>48</v>
      </c>
      <c r="D10" s="28">
        <f>B10*0.00135962</f>
        <v>1.9912375595731256E-2</v>
      </c>
      <c r="E10" s="13" t="s">
        <v>52</v>
      </c>
      <c r="H10" s="2" t="s">
        <v>8</v>
      </c>
      <c r="I10" s="2">
        <f>B3*I8*I9/60</f>
        <v>2.2531607356050003</v>
      </c>
      <c r="J10" s="2" t="s">
        <v>9</v>
      </c>
      <c r="K10" s="41">
        <f>I10/9.8</f>
        <v>0.22991436077602043</v>
      </c>
      <c r="L10" s="2" t="s">
        <v>10</v>
      </c>
    </row>
    <row r="11" spans="1:12" s="11" customFormat="1">
      <c r="A11" s="14" t="s">
        <v>42</v>
      </c>
      <c r="B11" s="15"/>
      <c r="C11" s="16"/>
      <c r="D11" s="15"/>
      <c r="E11" s="16"/>
      <c r="F11" s="15"/>
      <c r="G11" s="16"/>
    </row>
    <row r="12" spans="1:12">
      <c r="A12" s="12" t="s">
        <v>39</v>
      </c>
      <c r="B12" s="26">
        <v>40</v>
      </c>
      <c r="C12" s="13" t="s">
        <v>13</v>
      </c>
      <c r="D12" s="1">
        <f>B12/100</f>
        <v>0.4</v>
      </c>
      <c r="E12" s="13" t="s">
        <v>14</v>
      </c>
    </row>
    <row r="13" spans="1:12">
      <c r="A13" s="12" t="s">
        <v>12</v>
      </c>
      <c r="B13" s="26">
        <v>25</v>
      </c>
      <c r="C13" s="13" t="s">
        <v>13</v>
      </c>
      <c r="D13" s="1">
        <f>B13/100</f>
        <v>0.25</v>
      </c>
      <c r="E13" s="13" t="s">
        <v>14</v>
      </c>
    </row>
    <row r="14" spans="1:12">
      <c r="A14" s="12" t="s">
        <v>15</v>
      </c>
      <c r="B14" s="32">
        <f>B12*B13</f>
        <v>1000</v>
      </c>
      <c r="C14" s="13" t="s">
        <v>16</v>
      </c>
      <c r="D14" s="1">
        <f>D12*D13</f>
        <v>0.1</v>
      </c>
      <c r="E14" s="13" t="s">
        <v>17</v>
      </c>
    </row>
    <row r="15" spans="1:12">
      <c r="A15" s="12" t="s">
        <v>21</v>
      </c>
      <c r="B15" s="32">
        <f>(B12+B13)*2</f>
        <v>130</v>
      </c>
      <c r="C15" s="13" t="s">
        <v>13</v>
      </c>
      <c r="D15" s="1">
        <f>(D12+D13)*2</f>
        <v>1.3</v>
      </c>
      <c r="E15" s="13" t="s">
        <v>14</v>
      </c>
    </row>
    <row r="16" spans="1:12">
      <c r="A16" s="12" t="s">
        <v>20</v>
      </c>
      <c r="B16" s="27">
        <v>0.35</v>
      </c>
      <c r="C16" s="13" t="s">
        <v>19</v>
      </c>
    </row>
    <row r="17" spans="1:7">
      <c r="A17" s="12" t="s">
        <v>31</v>
      </c>
      <c r="B17" s="35">
        <v>0.4</v>
      </c>
    </row>
    <row r="18" spans="1:7">
      <c r="A18" s="12"/>
    </row>
    <row r="19" spans="1:7" s="11" customFormat="1">
      <c r="A19" s="14" t="s">
        <v>40</v>
      </c>
      <c r="B19" s="15"/>
      <c r="C19" s="16"/>
      <c r="D19" s="15"/>
      <c r="E19" s="16"/>
      <c r="F19" s="15"/>
      <c r="G19" s="16"/>
    </row>
    <row r="20" spans="1:7">
      <c r="A20" s="12" t="s">
        <v>18</v>
      </c>
      <c r="B20" s="1">
        <f>D14*B9</f>
        <v>1.1209183673469387</v>
      </c>
      <c r="C20" s="13" t="s">
        <v>19</v>
      </c>
    </row>
    <row r="21" spans="1:7">
      <c r="A21" s="22" t="s">
        <v>28</v>
      </c>
      <c r="B21" s="1">
        <f>B20/B16</f>
        <v>3.2026239067055395</v>
      </c>
    </row>
    <row r="22" spans="1:7">
      <c r="A22" s="12" t="s">
        <v>37</v>
      </c>
      <c r="B22" s="1">
        <f>B16/D14</f>
        <v>3.4999999999999996</v>
      </c>
      <c r="C22" s="13" t="s">
        <v>7</v>
      </c>
      <c r="D22" s="1">
        <f>B22*B4</f>
        <v>34.299999999999997</v>
      </c>
      <c r="E22" s="13" t="s">
        <v>24</v>
      </c>
      <c r="F22" s="1">
        <f>B22/10</f>
        <v>0.35</v>
      </c>
      <c r="G22" s="13" t="s">
        <v>27</v>
      </c>
    </row>
    <row r="23" spans="1:7">
      <c r="A23" s="12" t="s">
        <v>22</v>
      </c>
      <c r="B23" s="1">
        <f>SQRT(B22*2/(B3/B4))</f>
        <v>7.264243303278791</v>
      </c>
      <c r="C23" s="13" t="s">
        <v>3</v>
      </c>
    </row>
    <row r="24" spans="1:7">
      <c r="A24" s="22" t="s">
        <v>34</v>
      </c>
      <c r="B24" s="1">
        <f>B7*B17</f>
        <v>3.1997548908000004</v>
      </c>
      <c r="C24" s="13" t="s">
        <v>4</v>
      </c>
      <c r="D24" s="28">
        <f>B24/60</f>
        <v>5.3329248180000004E-2</v>
      </c>
      <c r="E24" s="13" t="s">
        <v>0</v>
      </c>
    </row>
    <row r="25" spans="1:7">
      <c r="A25" s="12" t="s">
        <v>26</v>
      </c>
      <c r="B25" s="29">
        <f>D24/(B23*D15)</f>
        <v>5.6471812530678967E-3</v>
      </c>
      <c r="C25" s="13" t="s">
        <v>14</v>
      </c>
      <c r="D25" s="1">
        <f>B25*1000</f>
        <v>5.6471812530678971</v>
      </c>
      <c r="E25" s="13" t="s">
        <v>23</v>
      </c>
    </row>
    <row r="26" spans="1:7">
      <c r="A26" s="12"/>
    </row>
    <row r="27" spans="1:7" s="11" customFormat="1">
      <c r="A27" s="14" t="s">
        <v>41</v>
      </c>
      <c r="B27" s="15"/>
      <c r="C27" s="16"/>
      <c r="D27" s="15"/>
      <c r="E27" s="16"/>
      <c r="F27" s="15"/>
      <c r="G27" s="16"/>
    </row>
    <row r="28" spans="1:7">
      <c r="A28" s="12" t="s">
        <v>8</v>
      </c>
      <c r="B28" s="30">
        <f>B3*D7*B8*(1-B17)</f>
        <v>1.3518964413629999</v>
      </c>
      <c r="C28" s="13" t="s">
        <v>9</v>
      </c>
      <c r="D28" s="30">
        <f>B28/B4</f>
        <v>0.13794861646561224</v>
      </c>
      <c r="E28" s="13" t="s">
        <v>10</v>
      </c>
    </row>
    <row r="29" spans="1:7">
      <c r="A29" s="12" t="s">
        <v>25</v>
      </c>
      <c r="B29" s="1">
        <f>B28/B16</f>
        <v>3.8625612610371429</v>
      </c>
      <c r="C29" s="13" t="s">
        <v>29</v>
      </c>
    </row>
    <row r="30" spans="1:7">
      <c r="A30" s="22" t="s">
        <v>35</v>
      </c>
      <c r="B30" s="1">
        <f>ATAN(D28/B16)*180/3.1415</f>
        <v>21.511963532795136</v>
      </c>
      <c r="C30" s="13" t="s">
        <v>36</v>
      </c>
    </row>
    <row r="31" spans="1:7">
      <c r="A31" s="23"/>
      <c r="B31" s="24"/>
      <c r="C31" s="25"/>
      <c r="D31" s="24"/>
      <c r="E31" s="25"/>
      <c r="F31" s="24"/>
      <c r="G31" s="25"/>
    </row>
  </sheetData>
  <phoneticPr fontId="1"/>
  <conditionalFormatting sqref="D25">
    <cfRule type="iconSet" priority="1">
      <iconSet>
        <cfvo type="percent" val="0"/>
        <cfvo type="num" val="1"/>
        <cfvo type="num" val="2"/>
      </iconSet>
    </cfRule>
  </conditionalFormatting>
  <pageMargins left="0.7" right="0.7" top="0.75" bottom="0.75" header="0.3" footer="0.3"/>
  <pageSetup paperSize="9" scale="71" fitToHeight="5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1DDF3-05FA-EB42-8CC0-600836ADA840}">
  <sheetPr>
    <pageSetUpPr fitToPage="1"/>
  </sheetPr>
  <dimension ref="A1:L31"/>
  <sheetViews>
    <sheetView tabSelected="1" zoomScaleNormal="100" workbookViewId="0">
      <selection activeCell="A2" sqref="A2"/>
    </sheetView>
  </sheetViews>
  <sheetFormatPr baseColWidth="10" defaultRowHeight="20"/>
  <cols>
    <col min="1" max="1" width="13.42578125" style="22" customWidth="1"/>
    <col min="2" max="2" width="9.42578125" style="1" customWidth="1"/>
    <col min="3" max="3" width="8.5703125" style="13" customWidth="1"/>
    <col min="4" max="4" width="9.42578125" style="1" customWidth="1"/>
    <col min="5" max="5" width="8.5703125" style="13" customWidth="1"/>
    <col min="6" max="6" width="9.42578125" style="1" customWidth="1"/>
    <col min="7" max="7" width="8.5703125" style="13" customWidth="1"/>
    <col min="8" max="16384" width="10.7109375" style="2"/>
  </cols>
  <sheetData>
    <row r="1" spans="1:12" s="7" customFormat="1" ht="21" thickBot="1">
      <c r="A1" s="40" t="s">
        <v>56</v>
      </c>
      <c r="B1" s="4"/>
      <c r="C1" s="5"/>
      <c r="D1" s="4"/>
      <c r="E1" s="5"/>
      <c r="F1" s="4"/>
      <c r="G1" s="6"/>
    </row>
    <row r="2" spans="1:12" s="11" customFormat="1">
      <c r="A2" s="8" t="s">
        <v>30</v>
      </c>
      <c r="B2" s="9"/>
      <c r="C2" s="10"/>
      <c r="D2" s="9"/>
      <c r="E2" s="10"/>
      <c r="F2" s="9"/>
      <c r="G2" s="10"/>
    </row>
    <row r="3" spans="1:12">
      <c r="A3" s="12" t="s">
        <v>33</v>
      </c>
      <c r="B3" s="31">
        <v>1.3</v>
      </c>
      <c r="C3" s="13" t="s">
        <v>11</v>
      </c>
      <c r="D3" s="43" t="s">
        <v>55</v>
      </c>
    </row>
    <row r="4" spans="1:12">
      <c r="A4" s="12" t="s">
        <v>32</v>
      </c>
      <c r="B4" s="31">
        <v>9.8000000000000007</v>
      </c>
      <c r="C4" s="13" t="s">
        <v>29</v>
      </c>
    </row>
    <row r="5" spans="1:12">
      <c r="A5" s="12"/>
    </row>
    <row r="6" spans="1:12" s="11" customFormat="1">
      <c r="A6" s="14" t="s">
        <v>43</v>
      </c>
      <c r="B6" s="15"/>
      <c r="C6" s="16"/>
      <c r="D6" s="15"/>
      <c r="E6" s="16"/>
      <c r="F6" s="15"/>
      <c r="G6" s="16"/>
    </row>
    <row r="7" spans="1:12">
      <c r="A7" s="12" t="s">
        <v>1</v>
      </c>
      <c r="B7" s="17">
        <f>I9</f>
        <v>5.9687735462999996</v>
      </c>
      <c r="C7" s="13" t="s">
        <v>4</v>
      </c>
      <c r="D7" s="28">
        <f>B7/60</f>
        <v>9.947955910499999E-2</v>
      </c>
      <c r="E7" s="13" t="s">
        <v>0</v>
      </c>
      <c r="H7" s="2" t="s">
        <v>47</v>
      </c>
      <c r="I7" s="44">
        <f>4.5*25.4</f>
        <v>114.3</v>
      </c>
      <c r="J7" s="2" t="s">
        <v>23</v>
      </c>
    </row>
    <row r="8" spans="1:12">
      <c r="A8" s="12" t="s">
        <v>2</v>
      </c>
      <c r="B8" s="17">
        <f>I8</f>
        <v>9.6999999999999993</v>
      </c>
      <c r="C8" s="13" t="s">
        <v>3</v>
      </c>
      <c r="D8" s="1">
        <f>B8*3.6</f>
        <v>34.92</v>
      </c>
      <c r="E8" s="13" t="s">
        <v>5</v>
      </c>
      <c r="H8" s="2" t="s">
        <v>2</v>
      </c>
      <c r="I8" s="44">
        <v>9.6999999999999993</v>
      </c>
      <c r="J8" s="2" t="s">
        <v>3</v>
      </c>
    </row>
    <row r="9" spans="1:12">
      <c r="A9" s="12" t="s">
        <v>6</v>
      </c>
      <c r="B9" s="1">
        <f>0.5 * B3 * (1/B4) * B8*B8</f>
        <v>6.2406632653061207</v>
      </c>
      <c r="C9" s="13" t="s">
        <v>7</v>
      </c>
      <c r="D9" s="1">
        <f>B9*$B$4</f>
        <v>61.158499999999989</v>
      </c>
      <c r="E9" s="13" t="s">
        <v>24</v>
      </c>
      <c r="H9" s="2" t="s">
        <v>1</v>
      </c>
      <c r="I9" s="2">
        <f>60*I8*3.14*(I7/2000)^2</f>
        <v>5.9687735462999996</v>
      </c>
      <c r="J9" s="2" t="s">
        <v>4</v>
      </c>
    </row>
    <row r="10" spans="1:12">
      <c r="A10" s="12" t="s">
        <v>50</v>
      </c>
      <c r="B10" s="1">
        <f>0.5*D7*B3*B8^2</f>
        <v>6.0840206155231416</v>
      </c>
      <c r="C10" s="13" t="s">
        <v>48</v>
      </c>
      <c r="D10" s="28">
        <f>B10*0.00135962</f>
        <v>8.2719561092775735E-3</v>
      </c>
      <c r="E10" s="13" t="s">
        <v>52</v>
      </c>
      <c r="H10" s="2" t="s">
        <v>8</v>
      </c>
      <c r="I10" s="2">
        <f>B3*I8*I9/60</f>
        <v>1.2544372403140498</v>
      </c>
      <c r="J10" s="2" t="s">
        <v>9</v>
      </c>
      <c r="K10" s="41">
        <f>I10/9.8</f>
        <v>0.12800380003204589</v>
      </c>
      <c r="L10" s="2" t="s">
        <v>10</v>
      </c>
    </row>
    <row r="11" spans="1:12" s="11" customFormat="1">
      <c r="A11" s="14" t="s">
        <v>42</v>
      </c>
      <c r="B11" s="15"/>
      <c r="C11" s="16"/>
      <c r="D11" s="15"/>
      <c r="E11" s="16"/>
      <c r="F11" s="15"/>
      <c r="G11" s="16"/>
    </row>
    <row r="12" spans="1:12">
      <c r="A12" s="12" t="s">
        <v>39</v>
      </c>
      <c r="B12" s="26">
        <v>40</v>
      </c>
      <c r="C12" s="13" t="s">
        <v>13</v>
      </c>
      <c r="D12" s="1">
        <f>B12/100</f>
        <v>0.4</v>
      </c>
      <c r="E12" s="13" t="s">
        <v>14</v>
      </c>
    </row>
    <row r="13" spans="1:12">
      <c r="A13" s="12" t="s">
        <v>12</v>
      </c>
      <c r="B13" s="26">
        <v>25</v>
      </c>
      <c r="C13" s="13" t="s">
        <v>13</v>
      </c>
      <c r="D13" s="1">
        <f>B13/100</f>
        <v>0.25</v>
      </c>
      <c r="E13" s="13" t="s">
        <v>14</v>
      </c>
    </row>
    <row r="14" spans="1:12">
      <c r="A14" s="12" t="s">
        <v>15</v>
      </c>
      <c r="B14" s="32">
        <f>B12*B13</f>
        <v>1000</v>
      </c>
      <c r="C14" s="13" t="s">
        <v>16</v>
      </c>
      <c r="D14" s="1">
        <f>D12*D13</f>
        <v>0.1</v>
      </c>
      <c r="E14" s="13" t="s">
        <v>17</v>
      </c>
    </row>
    <row r="15" spans="1:12">
      <c r="A15" s="12" t="s">
        <v>21</v>
      </c>
      <c r="B15" s="32">
        <f>(B12+B13)*2</f>
        <v>130</v>
      </c>
      <c r="C15" s="13" t="s">
        <v>13</v>
      </c>
      <c r="D15" s="1">
        <f>(D12+D13)*2</f>
        <v>1.3</v>
      </c>
      <c r="E15" s="13" t="s">
        <v>14</v>
      </c>
    </row>
    <row r="16" spans="1:12">
      <c r="A16" s="12" t="s">
        <v>20</v>
      </c>
      <c r="B16" s="27">
        <v>0.35</v>
      </c>
      <c r="C16" s="13" t="s">
        <v>19</v>
      </c>
    </row>
    <row r="17" spans="1:7">
      <c r="A17" s="12" t="s">
        <v>31</v>
      </c>
      <c r="B17" s="35">
        <v>0.4</v>
      </c>
    </row>
    <row r="18" spans="1:7">
      <c r="A18" s="12"/>
    </row>
    <row r="19" spans="1:7" s="11" customFormat="1">
      <c r="A19" s="14" t="s">
        <v>40</v>
      </c>
      <c r="B19" s="15"/>
      <c r="C19" s="16"/>
      <c r="D19" s="15"/>
      <c r="E19" s="16"/>
      <c r="F19" s="15"/>
      <c r="G19" s="16"/>
    </row>
    <row r="20" spans="1:7">
      <c r="A20" s="12" t="s">
        <v>18</v>
      </c>
      <c r="B20" s="1">
        <f>D14*B9</f>
        <v>0.62406632653061211</v>
      </c>
      <c r="C20" s="13" t="s">
        <v>19</v>
      </c>
    </row>
    <row r="21" spans="1:7">
      <c r="A21" s="22" t="s">
        <v>28</v>
      </c>
      <c r="B21" s="1">
        <f>B20/B16</f>
        <v>1.7830466472303204</v>
      </c>
    </row>
    <row r="22" spans="1:7">
      <c r="A22" s="12" t="s">
        <v>37</v>
      </c>
      <c r="B22" s="1">
        <f>B16/D14</f>
        <v>3.4999999999999996</v>
      </c>
      <c r="C22" s="13" t="s">
        <v>7</v>
      </c>
      <c r="D22" s="1">
        <f>B22*B4</f>
        <v>34.299999999999997</v>
      </c>
      <c r="E22" s="13" t="s">
        <v>24</v>
      </c>
      <c r="F22" s="1">
        <f>B22/10</f>
        <v>0.35</v>
      </c>
      <c r="G22" s="13" t="s">
        <v>27</v>
      </c>
    </row>
    <row r="23" spans="1:7">
      <c r="A23" s="12" t="s">
        <v>22</v>
      </c>
      <c r="B23" s="1">
        <f>SQRT(B22*2/(B3/B4))</f>
        <v>7.264243303278791</v>
      </c>
      <c r="C23" s="13" t="s">
        <v>3</v>
      </c>
    </row>
    <row r="24" spans="1:7">
      <c r="A24" s="22" t="s">
        <v>34</v>
      </c>
      <c r="B24" s="1">
        <f>B7*B17</f>
        <v>2.3875094185200001</v>
      </c>
      <c r="C24" s="13" t="s">
        <v>4</v>
      </c>
      <c r="D24" s="28">
        <f>B24/60</f>
        <v>3.9791823641999999E-2</v>
      </c>
      <c r="E24" s="13" t="s">
        <v>0</v>
      </c>
    </row>
    <row r="25" spans="1:7">
      <c r="A25" s="12" t="s">
        <v>26</v>
      </c>
      <c r="B25" s="29">
        <f>D24/(B23*D15)</f>
        <v>4.2136660119045074E-3</v>
      </c>
      <c r="C25" s="13" t="s">
        <v>14</v>
      </c>
      <c r="D25" s="1">
        <f>B25*1000</f>
        <v>4.2136660119045075</v>
      </c>
      <c r="E25" s="13" t="s">
        <v>23</v>
      </c>
    </row>
    <row r="26" spans="1:7">
      <c r="A26" s="12"/>
    </row>
    <row r="27" spans="1:7" s="11" customFormat="1">
      <c r="A27" s="14" t="s">
        <v>41</v>
      </c>
      <c r="B27" s="15"/>
      <c r="C27" s="16"/>
      <c r="D27" s="15"/>
      <c r="E27" s="16"/>
      <c r="F27" s="15"/>
      <c r="G27" s="16"/>
    </row>
    <row r="28" spans="1:7">
      <c r="A28" s="12" t="s">
        <v>8</v>
      </c>
      <c r="B28" s="30">
        <f>B3*D7*B8*(1-B17)</f>
        <v>0.75266234418842981</v>
      </c>
      <c r="C28" s="13" t="s">
        <v>9</v>
      </c>
      <c r="D28" s="30">
        <f>B28/B4</f>
        <v>7.6802280019227523E-2</v>
      </c>
      <c r="E28" s="13" t="s">
        <v>10</v>
      </c>
    </row>
    <row r="29" spans="1:7">
      <c r="A29" s="12" t="s">
        <v>25</v>
      </c>
      <c r="B29" s="1">
        <f>B28/B16</f>
        <v>2.1504638405383711</v>
      </c>
      <c r="C29" s="13" t="s">
        <v>29</v>
      </c>
    </row>
    <row r="30" spans="1:7">
      <c r="A30" s="22" t="s">
        <v>35</v>
      </c>
      <c r="B30" s="1">
        <f>ATAN(D28/B16)*180/3.1415</f>
        <v>12.376906946345704</v>
      </c>
      <c r="C30" s="13" t="s">
        <v>36</v>
      </c>
    </row>
    <row r="31" spans="1:7">
      <c r="A31" s="23"/>
      <c r="B31" s="24"/>
      <c r="C31" s="25"/>
      <c r="D31" s="24"/>
      <c r="E31" s="25"/>
      <c r="F31" s="24"/>
      <c r="G31" s="25"/>
    </row>
  </sheetData>
  <phoneticPr fontId="1"/>
  <conditionalFormatting sqref="D25">
    <cfRule type="iconSet" priority="1">
      <iconSet>
        <cfvo type="percent" val="0"/>
        <cfvo type="num" val="1"/>
        <cfvo type="num" val="2"/>
      </iconSet>
    </cfRule>
  </conditionalFormatting>
  <pageMargins left="0.7" right="0.7" top="0.75" bottom="0.75" header="0.3" footer="0.3"/>
  <pageSetup paperSize="9" scale="71" fitToHeight="5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リーフブロワHC</vt:lpstr>
      <vt:lpstr>ケースファンHC</vt:lpstr>
      <vt:lpstr>EDF-HC</vt:lpstr>
      <vt:lpstr>COX049-HC</vt:lpstr>
      <vt:lpstr>COX020-HC</vt:lpstr>
      <vt:lpstr>'COX020-HC'!Print_Area</vt:lpstr>
      <vt:lpstr>'COX049-HC'!Print_Area</vt:lpstr>
      <vt:lpstr>'EDF-HC'!Print_Area</vt:lpstr>
      <vt:lpstr>ケースファンHC!Print_Area</vt:lpstr>
      <vt:lpstr>リーフブロワHC!Print_Area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 日浦</dc:creator>
  <cp:lastModifiedBy>family 日浦</cp:lastModifiedBy>
  <cp:lastPrinted>2020-06-05T16:32:02Z</cp:lastPrinted>
  <dcterms:created xsi:type="dcterms:W3CDTF">2020-06-05T13:32:02Z</dcterms:created>
  <dcterms:modified xsi:type="dcterms:W3CDTF">2020-07-12T12:48:04Z</dcterms:modified>
</cp:coreProperties>
</file>